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\Desktop\"/>
    </mc:Choice>
  </mc:AlternateContent>
  <bookViews>
    <workbookView xWindow="0" yWindow="0" windowWidth="28800" windowHeight="12300" activeTab="2"/>
  </bookViews>
  <sheets>
    <sheet name="Planilla pagos f cordero 2017" sheetId="9" r:id="rId1"/>
    <sheet name="Horas Oct" sheetId="8" r:id="rId2"/>
    <sheet name="Pedido octubre 2017" sheetId="7" r:id="rId3"/>
    <sheet name="Pedido septiembre 2017" sheetId="4" r:id="rId4"/>
    <sheet name=" Pedido Septiembre 2017" sheetId="1" r:id="rId5"/>
    <sheet name="Comisiones" sheetId="2" r:id="rId6"/>
    <sheet name="Horas" sheetId="3" r:id="rId7"/>
    <sheet name="Hoja1" sheetId="5" r:id="rId8"/>
    <sheet name="Propuesta Octubre 2017" sheetId="6" r:id="rId9"/>
  </sheets>
  <calcPr calcId="162913"/>
</workbook>
</file>

<file path=xl/calcChain.xml><?xml version="1.0" encoding="utf-8"?>
<calcChain xmlns="http://schemas.openxmlformats.org/spreadsheetml/2006/main">
  <c r="L67" i="7" l="1"/>
  <c r="G74" i="7"/>
  <c r="G75" i="7"/>
  <c r="G76" i="7"/>
  <c r="C26" i="9"/>
  <c r="G73" i="7" l="1"/>
  <c r="AA14" i="8"/>
  <c r="O54" i="7"/>
  <c r="P80" i="7"/>
  <c r="Q80" i="7"/>
  <c r="R80" i="7"/>
  <c r="O80" i="7"/>
  <c r="R76" i="7"/>
  <c r="R77" i="7"/>
  <c r="R78" i="7"/>
  <c r="R79" i="7"/>
  <c r="R75" i="7"/>
  <c r="Z8" i="8" l="1"/>
  <c r="N61" i="7"/>
  <c r="O55" i="7"/>
  <c r="O61" i="7"/>
  <c r="AE16" i="8"/>
  <c r="Z9" i="8" l="1"/>
  <c r="Z11" i="8"/>
  <c r="Z12" i="8"/>
  <c r="Z15" i="8"/>
  <c r="Z25" i="8"/>
  <c r="Z28" i="8"/>
  <c r="Z29" i="8"/>
  <c r="Z7" i="8"/>
  <c r="Q4" i="7" l="1"/>
  <c r="J32" i="7"/>
  <c r="G72" i="7" l="1"/>
  <c r="O17" i="7" l="1"/>
  <c r="F61" i="7" l="1"/>
  <c r="W29" i="8" l="1"/>
  <c r="V29" i="8"/>
  <c r="U29" i="8"/>
  <c r="T29" i="8"/>
  <c r="P29" i="8"/>
  <c r="O29" i="8"/>
  <c r="N29" i="8"/>
  <c r="M29" i="8"/>
  <c r="I29" i="8"/>
  <c r="H29" i="8"/>
  <c r="G29" i="8"/>
  <c r="F29" i="8"/>
  <c r="W28" i="8"/>
  <c r="V28" i="8"/>
  <c r="U28" i="8"/>
  <c r="T28" i="8"/>
  <c r="P28" i="8"/>
  <c r="O28" i="8"/>
  <c r="N28" i="8"/>
  <c r="M28" i="8"/>
  <c r="I28" i="8"/>
  <c r="H28" i="8"/>
  <c r="G28" i="8"/>
  <c r="F28" i="8"/>
  <c r="W27" i="8"/>
  <c r="V27" i="8"/>
  <c r="U27" i="8"/>
  <c r="T27" i="8"/>
  <c r="P27" i="8"/>
  <c r="O27" i="8"/>
  <c r="N27" i="8"/>
  <c r="M27" i="8"/>
  <c r="I27" i="8"/>
  <c r="H27" i="8"/>
  <c r="G27" i="8"/>
  <c r="F27" i="8"/>
  <c r="W26" i="8"/>
  <c r="V26" i="8"/>
  <c r="U26" i="8"/>
  <c r="T26" i="8"/>
  <c r="P26" i="8"/>
  <c r="O26" i="8"/>
  <c r="N26" i="8"/>
  <c r="M26" i="8"/>
  <c r="I26" i="8"/>
  <c r="H26" i="8"/>
  <c r="G26" i="8"/>
  <c r="F26" i="8"/>
  <c r="W25" i="8"/>
  <c r="V25" i="8"/>
  <c r="U25" i="8"/>
  <c r="T25" i="8"/>
  <c r="P25" i="8"/>
  <c r="O25" i="8"/>
  <c r="N25" i="8"/>
  <c r="M25" i="8"/>
  <c r="X25" i="8" s="1"/>
  <c r="I25" i="8"/>
  <c r="H25" i="8"/>
  <c r="G25" i="8"/>
  <c r="F25" i="8"/>
  <c r="W24" i="8"/>
  <c r="V24" i="8"/>
  <c r="U24" i="8"/>
  <c r="T24" i="8"/>
  <c r="P24" i="8"/>
  <c r="O24" i="8"/>
  <c r="N24" i="8"/>
  <c r="M24" i="8"/>
  <c r="I24" i="8"/>
  <c r="H24" i="8"/>
  <c r="G24" i="8"/>
  <c r="F24" i="8"/>
  <c r="W23" i="8"/>
  <c r="V23" i="8"/>
  <c r="U23" i="8"/>
  <c r="T23" i="8"/>
  <c r="P23" i="8"/>
  <c r="O23" i="8"/>
  <c r="N23" i="8"/>
  <c r="M23" i="8"/>
  <c r="I23" i="8"/>
  <c r="H23" i="8"/>
  <c r="G23" i="8"/>
  <c r="F23" i="8"/>
  <c r="W22" i="8"/>
  <c r="V22" i="8"/>
  <c r="U22" i="8"/>
  <c r="T22" i="8"/>
  <c r="P22" i="8"/>
  <c r="O22" i="8"/>
  <c r="N22" i="8"/>
  <c r="M22" i="8"/>
  <c r="I22" i="8"/>
  <c r="H22" i="8"/>
  <c r="G22" i="8"/>
  <c r="F22" i="8"/>
  <c r="W21" i="8"/>
  <c r="V21" i="8"/>
  <c r="U21" i="8"/>
  <c r="T21" i="8"/>
  <c r="P21" i="8"/>
  <c r="O21" i="8"/>
  <c r="N21" i="8"/>
  <c r="M21" i="8"/>
  <c r="I21" i="8"/>
  <c r="H21" i="8"/>
  <c r="G21" i="8"/>
  <c r="F21" i="8"/>
  <c r="W20" i="8"/>
  <c r="V20" i="8"/>
  <c r="U20" i="8"/>
  <c r="T20" i="8"/>
  <c r="P20" i="8"/>
  <c r="O20" i="8"/>
  <c r="N20" i="8"/>
  <c r="M20" i="8"/>
  <c r="I20" i="8"/>
  <c r="H20" i="8"/>
  <c r="G20" i="8"/>
  <c r="F20" i="8"/>
  <c r="W19" i="8"/>
  <c r="V19" i="8"/>
  <c r="U19" i="8"/>
  <c r="T19" i="8"/>
  <c r="P19" i="8"/>
  <c r="O19" i="8"/>
  <c r="N19" i="8"/>
  <c r="M19" i="8"/>
  <c r="I19" i="8"/>
  <c r="H19" i="8"/>
  <c r="G19" i="8"/>
  <c r="F19" i="8"/>
  <c r="W18" i="8"/>
  <c r="V18" i="8"/>
  <c r="U18" i="8"/>
  <c r="T18" i="8"/>
  <c r="P18" i="8"/>
  <c r="O18" i="8"/>
  <c r="N18" i="8"/>
  <c r="M18" i="8"/>
  <c r="I18" i="8"/>
  <c r="H18" i="8"/>
  <c r="G18" i="8"/>
  <c r="F18" i="8"/>
  <c r="W17" i="8"/>
  <c r="V17" i="8"/>
  <c r="U17" i="8"/>
  <c r="T17" i="8"/>
  <c r="P17" i="8"/>
  <c r="O17" i="8"/>
  <c r="N17" i="8"/>
  <c r="M17" i="8"/>
  <c r="I17" i="8"/>
  <c r="H17" i="8"/>
  <c r="G17" i="8"/>
  <c r="F17" i="8"/>
  <c r="W16" i="8"/>
  <c r="V16" i="8"/>
  <c r="U16" i="8"/>
  <c r="T16" i="8"/>
  <c r="P16" i="8"/>
  <c r="O16" i="8"/>
  <c r="N16" i="8"/>
  <c r="M16" i="8"/>
  <c r="I16" i="8"/>
  <c r="H16" i="8"/>
  <c r="G16" i="8"/>
  <c r="F16" i="8"/>
  <c r="W15" i="8"/>
  <c r="V15" i="8"/>
  <c r="U15" i="8"/>
  <c r="T15" i="8"/>
  <c r="P15" i="8"/>
  <c r="O15" i="8"/>
  <c r="N15" i="8"/>
  <c r="M15" i="8"/>
  <c r="I15" i="8"/>
  <c r="H15" i="8"/>
  <c r="G15" i="8"/>
  <c r="F15" i="8"/>
  <c r="W14" i="8"/>
  <c r="V14" i="8"/>
  <c r="U14" i="8"/>
  <c r="T14" i="8"/>
  <c r="P14" i="8"/>
  <c r="O14" i="8"/>
  <c r="N14" i="8"/>
  <c r="M14" i="8"/>
  <c r="I14" i="8"/>
  <c r="H14" i="8"/>
  <c r="G14" i="8"/>
  <c r="F14" i="8"/>
  <c r="W13" i="8"/>
  <c r="V13" i="8"/>
  <c r="U13" i="8"/>
  <c r="T13" i="8"/>
  <c r="P13" i="8"/>
  <c r="O13" i="8"/>
  <c r="N13" i="8"/>
  <c r="M13" i="8"/>
  <c r="I13" i="8"/>
  <c r="H13" i="8"/>
  <c r="G13" i="8"/>
  <c r="F13" i="8"/>
  <c r="W12" i="8"/>
  <c r="V12" i="8"/>
  <c r="U12" i="8"/>
  <c r="T12" i="8"/>
  <c r="P12" i="8"/>
  <c r="O12" i="8"/>
  <c r="N12" i="8"/>
  <c r="M12" i="8"/>
  <c r="I12" i="8"/>
  <c r="H12" i="8"/>
  <c r="G12" i="8"/>
  <c r="F12" i="8"/>
  <c r="W11" i="8"/>
  <c r="V11" i="8"/>
  <c r="U11" i="8"/>
  <c r="T11" i="8"/>
  <c r="P11" i="8"/>
  <c r="O11" i="8"/>
  <c r="N11" i="8"/>
  <c r="M11" i="8"/>
  <c r="I11" i="8"/>
  <c r="H11" i="8"/>
  <c r="G11" i="8"/>
  <c r="F11" i="8"/>
  <c r="W10" i="8"/>
  <c r="V10" i="8"/>
  <c r="U10" i="8"/>
  <c r="T10" i="8"/>
  <c r="P10" i="8"/>
  <c r="O10" i="8"/>
  <c r="N10" i="8"/>
  <c r="M10" i="8"/>
  <c r="I10" i="8"/>
  <c r="H10" i="8"/>
  <c r="G10" i="8"/>
  <c r="F10" i="8"/>
  <c r="W9" i="8"/>
  <c r="V9" i="8"/>
  <c r="U9" i="8"/>
  <c r="T9" i="8"/>
  <c r="P9" i="8"/>
  <c r="O9" i="8"/>
  <c r="N9" i="8"/>
  <c r="M9" i="8"/>
  <c r="I9" i="8"/>
  <c r="H9" i="8"/>
  <c r="G9" i="8"/>
  <c r="F9" i="8"/>
  <c r="W8" i="8"/>
  <c r="V8" i="8"/>
  <c r="U8" i="8"/>
  <c r="T8" i="8"/>
  <c r="P8" i="8"/>
  <c r="O8" i="8"/>
  <c r="N8" i="8"/>
  <c r="M8" i="8"/>
  <c r="I8" i="8"/>
  <c r="H8" i="8"/>
  <c r="G8" i="8"/>
  <c r="F8" i="8"/>
  <c r="W7" i="8"/>
  <c r="V7" i="8"/>
  <c r="U7" i="8"/>
  <c r="T7" i="8"/>
  <c r="P7" i="8"/>
  <c r="O7" i="8"/>
  <c r="N7" i="8"/>
  <c r="M7" i="8"/>
  <c r="I7" i="8"/>
  <c r="H7" i="8"/>
  <c r="G7" i="8"/>
  <c r="F7" i="8"/>
  <c r="X21" i="3"/>
  <c r="F56" i="7"/>
  <c r="L7" i="7"/>
  <c r="L8" i="7"/>
  <c r="L9" i="7"/>
  <c r="L10" i="7"/>
  <c r="L11" i="7"/>
  <c r="L12" i="7"/>
  <c r="L13" i="7"/>
  <c r="L14" i="7"/>
  <c r="L16" i="7"/>
  <c r="L20" i="7"/>
  <c r="L21" i="7"/>
  <c r="L22" i="7"/>
  <c r="L23" i="7"/>
  <c r="L25" i="7"/>
  <c r="L26" i="7"/>
  <c r="L27" i="7"/>
  <c r="L28" i="7"/>
  <c r="L29" i="7"/>
  <c r="L30" i="7"/>
  <c r="L31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9" i="7"/>
  <c r="L6" i="7"/>
  <c r="L5" i="7"/>
  <c r="K49" i="7"/>
  <c r="K9" i="7"/>
  <c r="K10" i="7"/>
  <c r="K11" i="7"/>
  <c r="K12" i="7"/>
  <c r="K13" i="7"/>
  <c r="K14" i="7"/>
  <c r="K15" i="7"/>
  <c r="L15" i="7" s="1"/>
  <c r="K16" i="7"/>
  <c r="K17" i="7"/>
  <c r="L17" i="7" s="1"/>
  <c r="K18" i="7"/>
  <c r="L18" i="7" s="1"/>
  <c r="K19" i="7"/>
  <c r="L19" i="7" s="1"/>
  <c r="K20" i="7"/>
  <c r="K21" i="7"/>
  <c r="K22" i="7"/>
  <c r="K23" i="7"/>
  <c r="K24" i="7"/>
  <c r="L24" i="7" s="1"/>
  <c r="K25" i="7"/>
  <c r="K26" i="7"/>
  <c r="K27" i="7"/>
  <c r="K28" i="7"/>
  <c r="K29" i="7"/>
  <c r="K30" i="7"/>
  <c r="K31" i="7"/>
  <c r="K32" i="7"/>
  <c r="L32" i="7" s="1"/>
  <c r="K33" i="7"/>
  <c r="L33" i="7" s="1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L48" i="7" s="1"/>
  <c r="K8" i="7"/>
  <c r="K7" i="7"/>
  <c r="K6" i="7"/>
  <c r="K5" i="7"/>
  <c r="F5" i="7"/>
  <c r="O19" i="7"/>
  <c r="Q7" i="7"/>
  <c r="R7" i="7"/>
  <c r="Q8" i="7"/>
  <c r="R8" i="7"/>
  <c r="Q9" i="7"/>
  <c r="R9" i="7"/>
  <c r="Q10" i="7"/>
  <c r="R10" i="7"/>
  <c r="Q11" i="7"/>
  <c r="R11" i="7"/>
  <c r="R12" i="7"/>
  <c r="R14" i="7"/>
  <c r="Q20" i="7"/>
  <c r="R20" i="7"/>
  <c r="R21" i="7"/>
  <c r="R22" i="7"/>
  <c r="R25" i="7"/>
  <c r="R26" i="7"/>
  <c r="R27" i="7"/>
  <c r="R28" i="7"/>
  <c r="R29" i="7"/>
  <c r="Q31" i="7"/>
  <c r="R31" i="7"/>
  <c r="R34" i="7"/>
  <c r="Q35" i="7"/>
  <c r="R35" i="7"/>
  <c r="R36" i="7"/>
  <c r="R37" i="7"/>
  <c r="R38" i="7"/>
  <c r="R44" i="7"/>
  <c r="R45" i="7"/>
  <c r="R46" i="7"/>
  <c r="R47" i="7"/>
  <c r="R49" i="7"/>
  <c r="R6" i="7"/>
  <c r="P7" i="7"/>
  <c r="P8" i="7"/>
  <c r="P11" i="7"/>
  <c r="P12" i="7"/>
  <c r="Q12" i="7" s="1"/>
  <c r="P20" i="7"/>
  <c r="P36" i="7"/>
  <c r="Q36" i="7" s="1"/>
  <c r="P5" i="7"/>
  <c r="F24" i="7"/>
  <c r="P24" i="7" s="1"/>
  <c r="Q24" i="7" s="1"/>
  <c r="J24" i="7"/>
  <c r="O24" i="7"/>
  <c r="J49" i="7"/>
  <c r="J48" i="7"/>
  <c r="R48" i="7" s="1"/>
  <c r="J47" i="7"/>
  <c r="J46" i="7"/>
  <c r="J45" i="7"/>
  <c r="J44" i="7"/>
  <c r="J43" i="7"/>
  <c r="J42" i="7"/>
  <c r="J41" i="7"/>
  <c r="J40" i="7"/>
  <c r="J39" i="7"/>
  <c r="J38" i="7"/>
  <c r="J37" i="7"/>
  <c r="P37" i="7" s="1"/>
  <c r="Q37" i="7" s="1"/>
  <c r="J36" i="7"/>
  <c r="J35" i="7"/>
  <c r="P35" i="7" s="1"/>
  <c r="J34" i="7"/>
  <c r="J33" i="7"/>
  <c r="R32" i="7"/>
  <c r="J31" i="7"/>
  <c r="P31" i="7" s="1"/>
  <c r="J30" i="7"/>
  <c r="J29" i="7"/>
  <c r="P29" i="7" s="1"/>
  <c r="Q29" i="7" s="1"/>
  <c r="J28" i="7"/>
  <c r="J27" i="7"/>
  <c r="J26" i="7"/>
  <c r="J25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P10" i="7" s="1"/>
  <c r="J9" i="7"/>
  <c r="P9" i="7" s="1"/>
  <c r="J8" i="7"/>
  <c r="J7" i="7"/>
  <c r="J6" i="7"/>
  <c r="J5" i="7"/>
  <c r="O5" i="7"/>
  <c r="O6" i="7"/>
  <c r="P6" i="7" s="1"/>
  <c r="Q6" i="7" s="1"/>
  <c r="O7" i="7"/>
  <c r="O8" i="7"/>
  <c r="O9" i="7"/>
  <c r="O10" i="7"/>
  <c r="O11" i="7"/>
  <c r="O12" i="7"/>
  <c r="O13" i="7"/>
  <c r="O14" i="7"/>
  <c r="O15" i="7"/>
  <c r="O16" i="7"/>
  <c r="O18" i="7"/>
  <c r="O20" i="7"/>
  <c r="O21" i="7"/>
  <c r="O22" i="7"/>
  <c r="O23" i="7"/>
  <c r="O25" i="7"/>
  <c r="P25" i="7" s="1"/>
  <c r="Q25" i="7" s="1"/>
  <c r="O26" i="7"/>
  <c r="O27" i="7"/>
  <c r="O28" i="7"/>
  <c r="P28" i="7" s="1"/>
  <c r="Q28" i="7" s="1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P44" i="7" s="1"/>
  <c r="Q44" i="7" s="1"/>
  <c r="O45" i="7"/>
  <c r="O46" i="7"/>
  <c r="O47" i="7"/>
  <c r="O48" i="7"/>
  <c r="O49" i="7"/>
  <c r="P49" i="7" s="1"/>
  <c r="Q49" i="7" s="1"/>
  <c r="F41" i="7"/>
  <c r="R41" i="7" s="1"/>
  <c r="F40" i="7"/>
  <c r="P40" i="7" s="1"/>
  <c r="Q40" i="7" s="1"/>
  <c r="E21" i="7"/>
  <c r="E44" i="7"/>
  <c r="E49" i="7"/>
  <c r="E46" i="7"/>
  <c r="P48" i="7" l="1"/>
  <c r="Q48" i="7" s="1"/>
  <c r="P32" i="7"/>
  <c r="Q32" i="7" s="1"/>
  <c r="R24" i="7"/>
  <c r="P41" i="7"/>
  <c r="Q41" i="7" s="1"/>
  <c r="R40" i="7"/>
  <c r="X28" i="8"/>
  <c r="X27" i="8"/>
  <c r="Z27" i="8" s="1"/>
  <c r="X29" i="8"/>
  <c r="X20" i="8"/>
  <c r="Z20" i="8" s="1"/>
  <c r="X8" i="8"/>
  <c r="X24" i="8"/>
  <c r="Z24" i="8" s="1"/>
  <c r="U30" i="8"/>
  <c r="T31" i="8" s="1"/>
  <c r="T33" i="8" s="1"/>
  <c r="T30" i="8"/>
  <c r="V30" i="8"/>
  <c r="T34" i="8" s="1"/>
  <c r="X26" i="8"/>
  <c r="Z26" i="8" s="1"/>
  <c r="X21" i="8"/>
  <c r="Z21" i="8" s="1"/>
  <c r="X19" i="8"/>
  <c r="Z19" i="8" s="1"/>
  <c r="X13" i="8"/>
  <c r="Z13" i="8" s="1"/>
  <c r="X18" i="8"/>
  <c r="Z18" i="8" s="1"/>
  <c r="X12" i="8"/>
  <c r="N30" i="8"/>
  <c r="M31" i="8" s="1"/>
  <c r="X7" i="8"/>
  <c r="X11" i="8"/>
  <c r="M30" i="8"/>
  <c r="X15" i="8"/>
  <c r="X14" i="8"/>
  <c r="X16" i="8"/>
  <c r="Z16" i="8" s="1"/>
  <c r="X23" i="8"/>
  <c r="Z23" i="8" s="1"/>
  <c r="X22" i="8"/>
  <c r="Z22" i="8" s="1"/>
  <c r="X17" i="8"/>
  <c r="Z17" i="8" s="1"/>
  <c r="G30" i="8"/>
  <c r="F31" i="8" s="1"/>
  <c r="X9" i="8"/>
  <c r="X10" i="8"/>
  <c r="Z10" i="8" s="1"/>
  <c r="F30" i="8"/>
  <c r="Q42" i="7"/>
  <c r="P38" i="7"/>
  <c r="Q38" i="7" s="1"/>
  <c r="P14" i="7"/>
  <c r="Q14" i="7" s="1"/>
  <c r="P45" i="7"/>
  <c r="Q45" i="7" s="1"/>
  <c r="P47" i="7"/>
  <c r="Q47" i="7" s="1"/>
  <c r="P46" i="7"/>
  <c r="Q46" i="7" s="1"/>
  <c r="P34" i="7"/>
  <c r="Q34" i="7" s="1"/>
  <c r="P21" i="7"/>
  <c r="Q21" i="7" s="1"/>
  <c r="P22" i="7"/>
  <c r="Q22" i="7" s="1"/>
  <c r="P43" i="7"/>
  <c r="Q43" i="7" s="1"/>
  <c r="P27" i="7"/>
  <c r="Q27" i="7" s="1"/>
  <c r="P26" i="7"/>
  <c r="Q26" i="7" s="1"/>
  <c r="J51" i="7"/>
  <c r="O2" i="7"/>
  <c r="J2" i="7"/>
  <c r="F19" i="7"/>
  <c r="R19" i="7" s="1"/>
  <c r="E5" i="7"/>
  <c r="E10" i="7"/>
  <c r="F10" i="7" s="1"/>
  <c r="E8" i="7"/>
  <c r="F8" i="7" s="1"/>
  <c r="E6" i="7"/>
  <c r="F11" i="7"/>
  <c r="E9" i="7"/>
  <c r="F9" i="7" s="1"/>
  <c r="F7" i="7"/>
  <c r="F12" i="7"/>
  <c r="F13" i="7"/>
  <c r="F14" i="7"/>
  <c r="F15" i="7"/>
  <c r="R15" i="7" s="1"/>
  <c r="F16" i="7"/>
  <c r="R16" i="7" s="1"/>
  <c r="F17" i="7"/>
  <c r="R17" i="7" s="1"/>
  <c r="F18" i="7"/>
  <c r="R18" i="7" s="1"/>
  <c r="F20" i="7"/>
  <c r="F21" i="7"/>
  <c r="F22" i="7"/>
  <c r="F23" i="7"/>
  <c r="F25" i="7"/>
  <c r="F26" i="7"/>
  <c r="F27" i="7"/>
  <c r="F28" i="7"/>
  <c r="F29" i="7"/>
  <c r="F30" i="7"/>
  <c r="R30" i="7" s="1"/>
  <c r="F31" i="7"/>
  <c r="F32" i="7"/>
  <c r="F33" i="7"/>
  <c r="F34" i="7"/>
  <c r="F35" i="7"/>
  <c r="F36" i="7"/>
  <c r="F37" i="7"/>
  <c r="F38" i="7"/>
  <c r="F39" i="7"/>
  <c r="R39" i="7" s="1"/>
  <c r="F42" i="7"/>
  <c r="R42" i="7" s="1"/>
  <c r="F43" i="7"/>
  <c r="R43" i="7" s="1"/>
  <c r="F44" i="7"/>
  <c r="F45" i="7"/>
  <c r="F46" i="7"/>
  <c r="F47" i="7"/>
  <c r="F48" i="7"/>
  <c r="F49" i="7"/>
  <c r="Z14" i="8" l="1"/>
  <c r="P16" i="7"/>
  <c r="Q16" i="7" s="1"/>
  <c r="P30" i="7"/>
  <c r="Q30" i="7" s="1"/>
  <c r="P19" i="7"/>
  <c r="Q19" i="7" s="1"/>
  <c r="P17" i="7"/>
  <c r="Q17" i="7" s="1"/>
  <c r="P18" i="7"/>
  <c r="Q18" i="7" s="1"/>
  <c r="P39" i="7"/>
  <c r="Q39" i="7" s="1"/>
  <c r="R23" i="7"/>
  <c r="P23" i="7"/>
  <c r="Q23" i="7" s="1"/>
  <c r="R33" i="7"/>
  <c r="P33" i="7"/>
  <c r="Q33" i="7" s="1"/>
  <c r="P15" i="7"/>
  <c r="Q15" i="7" s="1"/>
  <c r="T32" i="8"/>
  <c r="M32" i="8"/>
  <c r="X30" i="8"/>
  <c r="Z30" i="8" s="1"/>
  <c r="F32" i="8"/>
  <c r="M33" i="8"/>
  <c r="F33" i="8"/>
  <c r="F51" i="7"/>
  <c r="R13" i="7"/>
  <c r="P13" i="7"/>
  <c r="Q13" i="7" s="1"/>
  <c r="F6" i="7"/>
  <c r="D10" i="6"/>
  <c r="H10" i="6"/>
  <c r="D9" i="6"/>
  <c r="H9" i="6"/>
  <c r="H6" i="6"/>
  <c r="H7" i="6"/>
  <c r="H8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5" i="6"/>
  <c r="D6" i="6"/>
  <c r="D7" i="6"/>
  <c r="D8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6" i="6"/>
  <c r="F37" i="8" l="1"/>
  <c r="F38" i="8"/>
  <c r="G37" i="8" s="1"/>
  <c r="P51" i="7"/>
  <c r="P2" i="7"/>
  <c r="F2" i="7"/>
  <c r="Q2" i="7" s="1"/>
  <c r="I11" i="1"/>
  <c r="R2" i="7" l="1"/>
  <c r="F64" i="7"/>
  <c r="F65" i="7" s="1"/>
  <c r="H37" i="8"/>
  <c r="H38" i="8"/>
  <c r="D5" i="6"/>
  <c r="H36" i="8" l="1"/>
  <c r="F66" i="7" s="1"/>
  <c r="F67" i="7" s="1"/>
  <c r="H27" i="6"/>
  <c r="F28" i="3"/>
  <c r="X28" i="3" s="1"/>
  <c r="G28" i="3"/>
  <c r="H28" i="3"/>
  <c r="I28" i="3"/>
  <c r="M28" i="3"/>
  <c r="N28" i="3"/>
  <c r="O28" i="3"/>
  <c r="P28" i="3"/>
  <c r="T28" i="3"/>
  <c r="U28" i="3"/>
  <c r="V28" i="3"/>
  <c r="W28" i="3"/>
  <c r="F68" i="7" l="1"/>
  <c r="K46" i="1"/>
  <c r="S61" i="5"/>
  <c r="R61" i="5"/>
  <c r="K52" i="5"/>
  <c r="F46" i="5"/>
  <c r="K53" i="5" s="1"/>
  <c r="K56" i="5" s="1"/>
  <c r="G57" i="5" s="1"/>
  <c r="S34" i="5"/>
  <c r="R34" i="5" s="1"/>
  <c r="O34" i="5"/>
  <c r="I34" i="5"/>
  <c r="E34" i="5"/>
  <c r="F34" i="5" s="1"/>
  <c r="O33" i="5"/>
  <c r="I33" i="5"/>
  <c r="F33" i="5"/>
  <c r="O32" i="5"/>
  <c r="I32" i="5"/>
  <c r="E32" i="5"/>
  <c r="F32" i="5" s="1"/>
  <c r="J32" i="5" s="1"/>
  <c r="S31" i="5"/>
  <c r="R31" i="5" s="1"/>
  <c r="O31" i="5"/>
  <c r="I31" i="5"/>
  <c r="F31" i="5"/>
  <c r="J31" i="5" s="1"/>
  <c r="S30" i="5"/>
  <c r="R30" i="5" s="1"/>
  <c r="O30" i="5"/>
  <c r="I30" i="5"/>
  <c r="F30" i="5"/>
  <c r="S29" i="5"/>
  <c r="R29" i="5" s="1"/>
  <c r="O29" i="5"/>
  <c r="I29" i="5"/>
  <c r="F29" i="5"/>
  <c r="J29" i="5" s="1"/>
  <c r="S28" i="5"/>
  <c r="R28" i="5" s="1"/>
  <c r="O28" i="5"/>
  <c r="I28" i="5"/>
  <c r="F28" i="5"/>
  <c r="J28" i="5" s="1"/>
  <c r="S27" i="5"/>
  <c r="R27" i="5" s="1"/>
  <c r="O27" i="5"/>
  <c r="I27" i="5"/>
  <c r="F27" i="5"/>
  <c r="S26" i="5"/>
  <c r="R26" i="5" s="1"/>
  <c r="O26" i="5"/>
  <c r="I26" i="5"/>
  <c r="F26" i="5"/>
  <c r="S25" i="5"/>
  <c r="R25" i="5" s="1"/>
  <c r="O25" i="5"/>
  <c r="I25" i="5"/>
  <c r="F25" i="5"/>
  <c r="J25" i="5" s="1"/>
  <c r="S24" i="5"/>
  <c r="R24" i="5" s="1"/>
  <c r="O24" i="5"/>
  <c r="I24" i="5"/>
  <c r="F24" i="5"/>
  <c r="J24" i="5" s="1"/>
  <c r="S23" i="5"/>
  <c r="R23" i="5" s="1"/>
  <c r="O23" i="5"/>
  <c r="I23" i="5"/>
  <c r="F23" i="5"/>
  <c r="J23" i="5" s="1"/>
  <c r="S22" i="5"/>
  <c r="R22" i="5" s="1"/>
  <c r="O22" i="5"/>
  <c r="I22" i="5"/>
  <c r="F22" i="5"/>
  <c r="S21" i="5"/>
  <c r="R21" i="5" s="1"/>
  <c r="O21" i="5"/>
  <c r="I21" i="5"/>
  <c r="F21" i="5"/>
  <c r="S20" i="5"/>
  <c r="R20" i="5" s="1"/>
  <c r="O20" i="5"/>
  <c r="I20" i="5"/>
  <c r="F20" i="5"/>
  <c r="S19" i="5"/>
  <c r="R19" i="5" s="1"/>
  <c r="O19" i="5"/>
  <c r="I19" i="5"/>
  <c r="F19" i="5"/>
  <c r="S18" i="5"/>
  <c r="R18" i="5" s="1"/>
  <c r="O18" i="5"/>
  <c r="I18" i="5"/>
  <c r="F18" i="5"/>
  <c r="S17" i="5"/>
  <c r="R17" i="5" s="1"/>
  <c r="O17" i="5"/>
  <c r="I17" i="5"/>
  <c r="F17" i="5"/>
  <c r="S16" i="5"/>
  <c r="R16" i="5" s="1"/>
  <c r="O16" i="5"/>
  <c r="I16" i="5"/>
  <c r="F16" i="5"/>
  <c r="S15" i="5"/>
  <c r="R15" i="5" s="1"/>
  <c r="O15" i="5"/>
  <c r="I15" i="5"/>
  <c r="E15" i="5"/>
  <c r="F15" i="5" s="1"/>
  <c r="S14" i="5"/>
  <c r="R14" i="5" s="1"/>
  <c r="O14" i="5"/>
  <c r="I14" i="5"/>
  <c r="F14" i="5"/>
  <c r="J14" i="5" s="1"/>
  <c r="S13" i="5"/>
  <c r="R13" i="5" s="1"/>
  <c r="O13" i="5"/>
  <c r="I13" i="5"/>
  <c r="F13" i="5"/>
  <c r="J13" i="5" s="1"/>
  <c r="S12" i="5"/>
  <c r="R12" i="5" s="1"/>
  <c r="O12" i="5"/>
  <c r="J12" i="5"/>
  <c r="K6" i="5" s="1"/>
  <c r="I12" i="5"/>
  <c r="F12" i="5"/>
  <c r="S11" i="5"/>
  <c r="R11" i="5"/>
  <c r="O11" i="5"/>
  <c r="I11" i="5"/>
  <c r="F11" i="5"/>
  <c r="S10" i="5"/>
  <c r="R10" i="5" s="1"/>
  <c r="O10" i="5"/>
  <c r="I10" i="5"/>
  <c r="J10" i="5" s="1"/>
  <c r="F10" i="5"/>
  <c r="S9" i="5"/>
  <c r="R9" i="5" s="1"/>
  <c r="O9" i="5"/>
  <c r="I9" i="5"/>
  <c r="F9" i="5"/>
  <c r="S8" i="5"/>
  <c r="R8" i="5" s="1"/>
  <c r="O8" i="5"/>
  <c r="I8" i="5"/>
  <c r="F8" i="5"/>
  <c r="S7" i="5"/>
  <c r="R7" i="5" s="1"/>
  <c r="O7" i="5"/>
  <c r="I7" i="5"/>
  <c r="F7" i="5"/>
  <c r="S6" i="5"/>
  <c r="R6" i="5" s="1"/>
  <c r="O6" i="5"/>
  <c r="I6" i="5"/>
  <c r="F6" i="5"/>
  <c r="S5" i="5"/>
  <c r="R5" i="5" s="1"/>
  <c r="O5" i="5"/>
  <c r="I5" i="5"/>
  <c r="F5" i="5"/>
  <c r="J5" i="5" l="1"/>
  <c r="K5" i="5" s="1"/>
  <c r="K8" i="5" s="1"/>
  <c r="J6" i="5"/>
  <c r="J7" i="5"/>
  <c r="J8" i="5"/>
  <c r="J9" i="5"/>
  <c r="J17" i="5"/>
  <c r="J19" i="5"/>
  <c r="J21" i="5"/>
  <c r="J27" i="5"/>
  <c r="I2" i="5"/>
  <c r="J11" i="5"/>
  <c r="J26" i="5"/>
  <c r="J33" i="5"/>
  <c r="J16" i="5"/>
  <c r="J18" i="5"/>
  <c r="J20" i="5"/>
  <c r="J22" i="5"/>
  <c r="J30" i="5"/>
  <c r="J34" i="5"/>
  <c r="J15" i="5"/>
  <c r="J2" i="5" s="1"/>
  <c r="F2" i="5"/>
  <c r="W8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9" i="3"/>
  <c r="V30" i="3"/>
  <c r="V31" i="3"/>
  <c r="V32" i="3"/>
  <c r="V33" i="3"/>
  <c r="V34" i="3"/>
  <c r="V35" i="3"/>
  <c r="V7" i="3"/>
  <c r="F46" i="1"/>
  <c r="K53" i="1" s="1"/>
  <c r="W35" i="3"/>
  <c r="U35" i="3"/>
  <c r="T35" i="3"/>
  <c r="W34" i="3"/>
  <c r="U34" i="3"/>
  <c r="T34" i="3"/>
  <c r="W33" i="3"/>
  <c r="U33" i="3"/>
  <c r="T33" i="3"/>
  <c r="W32" i="3"/>
  <c r="U32" i="3"/>
  <c r="T32" i="3"/>
  <c r="W31" i="3"/>
  <c r="U31" i="3"/>
  <c r="T31" i="3"/>
  <c r="W30" i="3"/>
  <c r="U30" i="3"/>
  <c r="T30" i="3"/>
  <c r="W29" i="3"/>
  <c r="U29" i="3"/>
  <c r="T29" i="3"/>
  <c r="W27" i="3"/>
  <c r="U27" i="3"/>
  <c r="T27" i="3"/>
  <c r="W26" i="3"/>
  <c r="U26" i="3"/>
  <c r="T26" i="3"/>
  <c r="W25" i="3"/>
  <c r="U25" i="3"/>
  <c r="T25" i="3"/>
  <c r="W24" i="3"/>
  <c r="U24" i="3"/>
  <c r="T24" i="3"/>
  <c r="W23" i="3"/>
  <c r="U23" i="3"/>
  <c r="T23" i="3"/>
  <c r="W22" i="3"/>
  <c r="U22" i="3"/>
  <c r="T22" i="3"/>
  <c r="W21" i="3"/>
  <c r="U21" i="3"/>
  <c r="T21" i="3"/>
  <c r="W20" i="3"/>
  <c r="U20" i="3"/>
  <c r="T20" i="3"/>
  <c r="W19" i="3"/>
  <c r="U19" i="3"/>
  <c r="T19" i="3"/>
  <c r="W18" i="3"/>
  <c r="U18" i="3"/>
  <c r="T18" i="3"/>
  <c r="W17" i="3"/>
  <c r="U17" i="3"/>
  <c r="T17" i="3"/>
  <c r="W16" i="3"/>
  <c r="U16" i="3"/>
  <c r="T16" i="3"/>
  <c r="W15" i="3"/>
  <c r="U15" i="3"/>
  <c r="T15" i="3"/>
  <c r="W14" i="3"/>
  <c r="U14" i="3"/>
  <c r="T14" i="3"/>
  <c r="W13" i="3"/>
  <c r="U13" i="3"/>
  <c r="T13" i="3"/>
  <c r="W12" i="3"/>
  <c r="U12" i="3"/>
  <c r="T12" i="3"/>
  <c r="W11" i="3"/>
  <c r="U11" i="3"/>
  <c r="T11" i="3"/>
  <c r="W10" i="3"/>
  <c r="U10" i="3"/>
  <c r="T10" i="3"/>
  <c r="W9" i="3"/>
  <c r="U9" i="3"/>
  <c r="T9" i="3"/>
  <c r="U8" i="3"/>
  <c r="T8" i="3"/>
  <c r="W7" i="3"/>
  <c r="U7" i="3"/>
  <c r="T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9" i="3"/>
  <c r="P30" i="3"/>
  <c r="P31" i="3"/>
  <c r="P32" i="3"/>
  <c r="P33" i="3"/>
  <c r="P34" i="3"/>
  <c r="P35" i="3"/>
  <c r="P7" i="3"/>
  <c r="F22" i="3"/>
  <c r="G22" i="3"/>
  <c r="H22" i="3"/>
  <c r="I22" i="3"/>
  <c r="M22" i="3"/>
  <c r="N22" i="3"/>
  <c r="O22" i="3"/>
  <c r="O31" i="3"/>
  <c r="N31" i="3"/>
  <c r="M31" i="3"/>
  <c r="I31" i="3"/>
  <c r="H31" i="3"/>
  <c r="G31" i="3"/>
  <c r="F31" i="3"/>
  <c r="O30" i="3"/>
  <c r="N30" i="3"/>
  <c r="M30" i="3"/>
  <c r="I30" i="3"/>
  <c r="H30" i="3"/>
  <c r="G30" i="3"/>
  <c r="F30" i="3"/>
  <c r="X30" i="3" s="1"/>
  <c r="O29" i="3"/>
  <c r="N29" i="3"/>
  <c r="M29" i="3"/>
  <c r="I29" i="3"/>
  <c r="H29" i="3"/>
  <c r="G29" i="3"/>
  <c r="F29" i="3"/>
  <c r="O27" i="3"/>
  <c r="N27" i="3"/>
  <c r="M27" i="3"/>
  <c r="I27" i="3"/>
  <c r="H27" i="3"/>
  <c r="G27" i="3"/>
  <c r="F27" i="3"/>
  <c r="O33" i="3"/>
  <c r="N33" i="3"/>
  <c r="M33" i="3"/>
  <c r="I33" i="3"/>
  <c r="H33" i="3"/>
  <c r="G33" i="3"/>
  <c r="F33" i="3"/>
  <c r="O32" i="3"/>
  <c r="N32" i="3"/>
  <c r="M32" i="3"/>
  <c r="I32" i="3"/>
  <c r="H32" i="3"/>
  <c r="G32" i="3"/>
  <c r="F32" i="3"/>
  <c r="X32" i="3" s="1"/>
  <c r="O34" i="3"/>
  <c r="N34" i="3"/>
  <c r="M34" i="3"/>
  <c r="I34" i="3"/>
  <c r="H34" i="3"/>
  <c r="G34" i="3"/>
  <c r="F34" i="3"/>
  <c r="X34" i="3" s="1"/>
  <c r="O35" i="3"/>
  <c r="N35" i="3"/>
  <c r="M35" i="3"/>
  <c r="O26" i="3"/>
  <c r="N26" i="3"/>
  <c r="M26" i="3"/>
  <c r="O25" i="3"/>
  <c r="N25" i="3"/>
  <c r="M25" i="3"/>
  <c r="O24" i="3"/>
  <c r="N24" i="3"/>
  <c r="M24" i="3"/>
  <c r="O23" i="3"/>
  <c r="N23" i="3"/>
  <c r="M23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3" i="3"/>
  <c r="I24" i="3"/>
  <c r="I25" i="3"/>
  <c r="I26" i="3"/>
  <c r="I35" i="3"/>
  <c r="I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3" i="3"/>
  <c r="G24" i="3"/>
  <c r="G25" i="3"/>
  <c r="G26" i="3"/>
  <c r="G35" i="3"/>
  <c r="G7" i="3"/>
  <c r="F8" i="3"/>
  <c r="F9" i="3"/>
  <c r="F10" i="3"/>
  <c r="X10" i="3" s="1"/>
  <c r="F11" i="3"/>
  <c r="F12" i="3"/>
  <c r="X12" i="3" s="1"/>
  <c r="F13" i="3"/>
  <c r="F14" i="3"/>
  <c r="X14" i="3" s="1"/>
  <c r="F15" i="3"/>
  <c r="F16" i="3"/>
  <c r="X16" i="3" s="1"/>
  <c r="F17" i="3"/>
  <c r="F18" i="3"/>
  <c r="X18" i="3" s="1"/>
  <c r="F19" i="3"/>
  <c r="F20" i="3"/>
  <c r="F21" i="3"/>
  <c r="F23" i="3"/>
  <c r="F24" i="3"/>
  <c r="F25" i="3"/>
  <c r="X25" i="3" s="1"/>
  <c r="F26" i="3"/>
  <c r="F35" i="3"/>
  <c r="X35" i="3" s="1"/>
  <c r="F7" i="3"/>
  <c r="X24" i="3" l="1"/>
  <c r="X15" i="3"/>
  <c r="X11" i="3"/>
  <c r="X26" i="3"/>
  <c r="X17" i="3"/>
  <c r="X13" i="3"/>
  <c r="X9" i="3"/>
  <c r="X33" i="3"/>
  <c r="X31" i="3"/>
  <c r="X23" i="3"/>
  <c r="X29" i="3"/>
  <c r="V36" i="3"/>
  <c r="T40" i="3" s="1"/>
  <c r="X20" i="3"/>
  <c r="X8" i="3"/>
  <c r="F49" i="5"/>
  <c r="F50" i="5" s="1"/>
  <c r="M4" i="5"/>
  <c r="M8" i="5" s="1"/>
  <c r="X7" i="3"/>
  <c r="X27" i="3"/>
  <c r="X22" i="3"/>
  <c r="X19" i="3"/>
  <c r="U36" i="3"/>
  <c r="T36" i="3"/>
  <c r="F36" i="3"/>
  <c r="G36" i="3"/>
  <c r="F37" i="3" s="1"/>
  <c r="N36" i="3"/>
  <c r="M37" i="3" s="1"/>
  <c r="M36" i="3"/>
  <c r="H15" i="3"/>
  <c r="H8" i="3"/>
  <c r="H10" i="3"/>
  <c r="H11" i="3"/>
  <c r="H12" i="3"/>
  <c r="H13" i="3"/>
  <c r="H14" i="3"/>
  <c r="H16" i="3"/>
  <c r="H17" i="3"/>
  <c r="H18" i="3"/>
  <c r="H19" i="3"/>
  <c r="H20" i="3"/>
  <c r="H21" i="3"/>
  <c r="H23" i="3"/>
  <c r="H24" i="3"/>
  <c r="H25" i="3"/>
  <c r="H26" i="3"/>
  <c r="H35" i="3"/>
  <c r="H9" i="3"/>
  <c r="H7" i="3"/>
  <c r="AA8" i="3" l="1"/>
  <c r="X36" i="3"/>
  <c r="T37" i="3"/>
  <c r="T39" i="3" s="1"/>
  <c r="F38" i="3"/>
  <c r="F39" i="3"/>
  <c r="M38" i="3"/>
  <c r="M39" i="3"/>
  <c r="F33" i="1"/>
  <c r="I33" i="1"/>
  <c r="O33" i="1"/>
  <c r="I32" i="1"/>
  <c r="E32" i="1"/>
  <c r="F32" i="1" s="1"/>
  <c r="E34" i="1"/>
  <c r="E15" i="1"/>
  <c r="F15" i="1" s="1"/>
  <c r="O32" i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4" i="1"/>
  <c r="I6" i="1"/>
  <c r="I5" i="1"/>
  <c r="F7" i="1"/>
  <c r="F8" i="1"/>
  <c r="F9" i="1"/>
  <c r="F10" i="1"/>
  <c r="F11" i="1"/>
  <c r="F12" i="1"/>
  <c r="J12" i="1" s="1"/>
  <c r="F13" i="1"/>
  <c r="J13" i="1" s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6" i="1"/>
  <c r="F5" i="1"/>
  <c r="J16" i="1" l="1"/>
  <c r="J31" i="1"/>
  <c r="J23" i="1"/>
  <c r="J19" i="1"/>
  <c r="J15" i="1"/>
  <c r="T38" i="3"/>
  <c r="F43" i="3" s="1"/>
  <c r="J5" i="1"/>
  <c r="J14" i="1"/>
  <c r="J6" i="1"/>
  <c r="F44" i="3"/>
  <c r="K6" i="1"/>
  <c r="J32" i="1"/>
  <c r="J28" i="1"/>
  <c r="J27" i="1"/>
  <c r="J26" i="1"/>
  <c r="J30" i="1"/>
  <c r="J29" i="1"/>
  <c r="J33" i="1"/>
  <c r="J11" i="1"/>
  <c r="J22" i="1"/>
  <c r="J18" i="1"/>
  <c r="J10" i="1"/>
  <c r="J7" i="1"/>
  <c r="J25" i="1"/>
  <c r="J21" i="1"/>
  <c r="J17" i="1"/>
  <c r="J9" i="1"/>
  <c r="J34" i="1"/>
  <c r="J24" i="1"/>
  <c r="J20" i="1"/>
  <c r="J8" i="1"/>
  <c r="I2" i="1"/>
  <c r="F2" i="1"/>
  <c r="S6" i="1"/>
  <c r="R6" i="1" s="1"/>
  <c r="S7" i="1"/>
  <c r="R7" i="1" s="1"/>
  <c r="S8" i="1"/>
  <c r="R8" i="1" s="1"/>
  <c r="S9" i="1"/>
  <c r="R9" i="1" s="1"/>
  <c r="S10" i="1"/>
  <c r="R10" i="1" s="1"/>
  <c r="S11" i="1"/>
  <c r="R11" i="1" s="1"/>
  <c r="S12" i="1"/>
  <c r="R12" i="1" s="1"/>
  <c r="S13" i="1"/>
  <c r="R13" i="1" s="1"/>
  <c r="S14" i="1"/>
  <c r="R14" i="1" s="1"/>
  <c r="S15" i="1"/>
  <c r="R15" i="1" s="1"/>
  <c r="S16" i="1"/>
  <c r="R16" i="1" s="1"/>
  <c r="S17" i="1"/>
  <c r="R17" i="1" s="1"/>
  <c r="S18" i="1"/>
  <c r="R18" i="1" s="1"/>
  <c r="S19" i="1"/>
  <c r="R19" i="1" s="1"/>
  <c r="S20" i="1"/>
  <c r="R20" i="1" s="1"/>
  <c r="S21" i="1"/>
  <c r="R21" i="1" s="1"/>
  <c r="S22" i="1"/>
  <c r="R22" i="1" s="1"/>
  <c r="S23" i="1"/>
  <c r="R23" i="1" s="1"/>
  <c r="S24" i="1"/>
  <c r="R24" i="1" s="1"/>
  <c r="S25" i="1"/>
  <c r="R25" i="1" s="1"/>
  <c r="S26" i="1"/>
  <c r="R26" i="1" s="1"/>
  <c r="S27" i="1"/>
  <c r="R27" i="1" s="1"/>
  <c r="S28" i="1"/>
  <c r="R28" i="1" s="1"/>
  <c r="S29" i="1"/>
  <c r="R29" i="1" s="1"/>
  <c r="S30" i="1"/>
  <c r="R30" i="1" s="1"/>
  <c r="S31" i="1"/>
  <c r="R31" i="1" s="1"/>
  <c r="S34" i="1"/>
  <c r="R34" i="1" s="1"/>
  <c r="S5" i="1"/>
  <c r="R5" i="1" s="1"/>
  <c r="G43" i="3" l="1"/>
  <c r="H43" i="3" s="1"/>
  <c r="K5" i="1"/>
  <c r="K8" i="1" s="1"/>
  <c r="J2" i="1"/>
  <c r="F49" i="1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4" i="1"/>
  <c r="O5" i="1"/>
  <c r="F50" i="1" l="1"/>
  <c r="G58" i="1" s="1"/>
  <c r="J66" i="1"/>
  <c r="H44" i="3"/>
  <c r="M4" i="1"/>
  <c r="M8" i="1" s="1"/>
  <c r="H42" i="3" l="1"/>
  <c r="F51" i="5" s="1"/>
  <c r="F52" i="5" s="1"/>
  <c r="F53" i="5" s="1"/>
  <c r="G58" i="5" s="1"/>
  <c r="G59" i="5" s="1"/>
  <c r="F51" i="1" l="1"/>
  <c r="F52" i="1" s="1"/>
  <c r="G60" i="1" s="1"/>
  <c r="C60" i="1" s="1"/>
  <c r="F53" i="1" l="1"/>
  <c r="K56" i="1"/>
  <c r="G57" i="1" l="1"/>
  <c r="G59" i="1" s="1"/>
  <c r="L61" i="1" s="1"/>
  <c r="L62" i="1" s="1"/>
  <c r="J65" i="1"/>
  <c r="J67" i="1" s="1"/>
  <c r="L67" i="1" s="1"/>
  <c r="H61" i="1" l="1"/>
</calcChain>
</file>

<file path=xl/sharedStrings.xml><?xml version="1.0" encoding="utf-8"?>
<sst xmlns="http://schemas.openxmlformats.org/spreadsheetml/2006/main" count="830" uniqueCount="266">
  <si>
    <t>Coca cola normal</t>
  </si>
  <si>
    <t>Coca cola ligth</t>
  </si>
  <si>
    <t>Fanta normal</t>
  </si>
  <si>
    <t>Sprite normal</t>
  </si>
  <si>
    <t>Sprite light</t>
  </si>
  <si>
    <t>Coca cola zero</t>
  </si>
  <si>
    <t>Cervez Cristal</t>
  </si>
  <si>
    <t>Cerveza Escudo</t>
  </si>
  <si>
    <t>Cerveza Corona</t>
  </si>
  <si>
    <t>Red Bull</t>
  </si>
  <si>
    <t>Mojito normal</t>
  </si>
  <si>
    <t>Pisco Mistral</t>
  </si>
  <si>
    <t>Pisco Alto del Carmen</t>
  </si>
  <si>
    <t>Ron Barceló</t>
  </si>
  <si>
    <t>Whisky Sandy</t>
  </si>
  <si>
    <t>Whisky Jonnie</t>
  </si>
  <si>
    <t>Whisky Ballantines</t>
  </si>
  <si>
    <t>Manquehuito</t>
  </si>
  <si>
    <t>Mango Sour</t>
  </si>
  <si>
    <t>Pisco Sour</t>
  </si>
  <si>
    <t>Agua mineral 500cc</t>
  </si>
  <si>
    <t>Lucky Strike</t>
  </si>
  <si>
    <t>Ken Azul</t>
  </si>
  <si>
    <t>Ken negro</t>
  </si>
  <si>
    <t>Pall mall rojo azul</t>
  </si>
  <si>
    <t>Pall verde click</t>
  </si>
  <si>
    <t>Productos</t>
  </si>
  <si>
    <t>Precio</t>
  </si>
  <si>
    <t>Pedido</t>
  </si>
  <si>
    <t>Late Harvest</t>
  </si>
  <si>
    <t>Vino Santa Emiliana</t>
  </si>
  <si>
    <t>21:00 - 05:00</t>
  </si>
  <si>
    <t>21:00 - 05:02</t>
  </si>
  <si>
    <t>21:00 - 05:04</t>
  </si>
  <si>
    <t>14:00 - 21:00</t>
  </si>
  <si>
    <t>Sabado 16</t>
  </si>
  <si>
    <t>Domingo 17</t>
  </si>
  <si>
    <t>Lunes 18</t>
  </si>
  <si>
    <t>10:30 - 14:30</t>
  </si>
  <si>
    <t>Ramiro Vidal</t>
  </si>
  <si>
    <t>Rosa Atenas</t>
  </si>
  <si>
    <t>Rodrigo Palominos</t>
  </si>
  <si>
    <t>Michelle (aquí)</t>
  </si>
  <si>
    <t>Michelle (o aca)</t>
  </si>
  <si>
    <t>Adrian Henriquez</t>
  </si>
  <si>
    <t>Gabriel Fredes</t>
  </si>
  <si>
    <t xml:space="preserve"> </t>
  </si>
  <si>
    <t>Gabriel Echeverria</t>
  </si>
  <si>
    <t>Amanda (2 turnos )</t>
  </si>
  <si>
    <t>Amanda ( 2  turnos)</t>
  </si>
  <si>
    <t>Amanda ( 2 turnos)</t>
  </si>
  <si>
    <t>Jorge fres (condorito)</t>
  </si>
  <si>
    <t>Yoly (2 turnos)</t>
  </si>
  <si>
    <t>Patricio Rojas</t>
  </si>
  <si>
    <t>Bernardita(2 turnos)</t>
  </si>
  <si>
    <t>Soledad (rita)</t>
  </si>
  <si>
    <t>Ivan Flores</t>
  </si>
  <si>
    <t>Luisa Contreras</t>
  </si>
  <si>
    <t>Gaston( 2 turnos)</t>
  </si>
  <si>
    <t>Calalo</t>
  </si>
  <si>
    <t>María Inés(2 turnos)</t>
  </si>
  <si>
    <t>María Inés (2 turnos)</t>
  </si>
  <si>
    <t>Iris maldonado</t>
  </si>
  <si>
    <t>Miguel Practica</t>
  </si>
  <si>
    <t>Cecilia Jara</t>
  </si>
  <si>
    <t>Edmundo ???</t>
  </si>
  <si>
    <t>Laura Uribe (2 turnos)</t>
  </si>
  <si>
    <t>Silvana</t>
  </si>
  <si>
    <t>+ 4 bebidas</t>
  </si>
  <si>
    <t>Martin Serrano</t>
  </si>
  <si>
    <t>Utilidad</t>
  </si>
  <si>
    <t>%</t>
  </si>
  <si>
    <t>Bebidas en lata</t>
  </si>
  <si>
    <t>Cervezas en lata</t>
  </si>
  <si>
    <t>Agua mineral</t>
  </si>
  <si>
    <t>Cerveza corona</t>
  </si>
  <si>
    <t>Mojito</t>
  </si>
  <si>
    <t>Vino Sta. Emiliana</t>
  </si>
  <si>
    <t>Vino Late Harvest</t>
  </si>
  <si>
    <t>Lucky strike</t>
  </si>
  <si>
    <t>Pall Mall</t>
  </si>
  <si>
    <t>Pisco Mistral  más 4 bebidas lata</t>
  </si>
  <si>
    <t>Pisco Alto del carmen  más 4 bebidas lata</t>
  </si>
  <si>
    <t>Ron Barceló  más 4 bebidas lata</t>
  </si>
  <si>
    <t>Whisky Sandy  más 4 bebidas lata</t>
  </si>
  <si>
    <t>Whisky Ballantines  más 4 bebidas lata</t>
  </si>
  <si>
    <t>Whisky Johnnie Walker  más 4 bebidas lata</t>
  </si>
  <si>
    <t>Caja</t>
  </si>
  <si>
    <t>Devueltos</t>
  </si>
  <si>
    <t>Cajas</t>
  </si>
  <si>
    <t>Unid.</t>
  </si>
  <si>
    <t>$ Devol.</t>
  </si>
  <si>
    <t>A pagar</t>
  </si>
  <si>
    <t>$ Pedido</t>
  </si>
  <si>
    <t>Pedidos</t>
  </si>
  <si>
    <t xml:space="preserve">Total </t>
  </si>
  <si>
    <t>Cerveza sin alcohol</t>
  </si>
  <si>
    <t>Caja undividual</t>
  </si>
  <si>
    <t>Vasos Fiestas patrias y fiesta del cordero</t>
  </si>
  <si>
    <t>Destapadores</t>
  </si>
  <si>
    <t>Empanadas 40</t>
  </si>
  <si>
    <t>Pan</t>
  </si>
  <si>
    <t>Jugos boca ancha</t>
  </si>
  <si>
    <t>Jigos boca ancha</t>
  </si>
  <si>
    <t>Queso</t>
  </si>
  <si>
    <t>Total Gastos</t>
  </si>
  <si>
    <t>Botilleria</t>
  </si>
  <si>
    <t>Entrada</t>
  </si>
  <si>
    <t>Salida</t>
  </si>
  <si>
    <t>Total</t>
  </si>
  <si>
    <t>Miguel Hermosilla</t>
  </si>
  <si>
    <t>Gerardo Morales</t>
  </si>
  <si>
    <t>Bernardita Olguin</t>
  </si>
  <si>
    <t>Amanda Orellana</t>
  </si>
  <si>
    <t>Gaston Figueroa</t>
  </si>
  <si>
    <t>Jorge Vidal</t>
  </si>
  <si>
    <t>Adrian</t>
  </si>
  <si>
    <t>Laura Uribe</t>
  </si>
  <si>
    <t>Mesa</t>
  </si>
  <si>
    <t>Silla</t>
  </si>
  <si>
    <t>Total Horas</t>
  </si>
  <si>
    <t>Total Minutos</t>
  </si>
  <si>
    <t>Horas</t>
  </si>
  <si>
    <t>Minutos</t>
  </si>
  <si>
    <t>Min</t>
  </si>
  <si>
    <t>Maria inés</t>
  </si>
  <si>
    <t>David Serrano</t>
  </si>
  <si>
    <t>Carmen Olguin</t>
  </si>
  <si>
    <t>Sabado</t>
  </si>
  <si>
    <t>Domingo</t>
  </si>
  <si>
    <t>Lunes</t>
  </si>
  <si>
    <t>Valor hora</t>
  </si>
  <si>
    <t>Valor a pagar</t>
  </si>
  <si>
    <t>Pago de horas</t>
  </si>
  <si>
    <t>Total Ingresos</t>
  </si>
  <si>
    <t>Total gastos</t>
  </si>
  <si>
    <t>Saldo BienEstar</t>
  </si>
  <si>
    <t>Desglose Caja</t>
  </si>
  <si>
    <t>Insumos</t>
  </si>
  <si>
    <t>Seg</t>
  </si>
  <si>
    <t>Total Segundo</t>
  </si>
  <si>
    <t>Saldo Parcial</t>
  </si>
  <si>
    <t>Ingreso Bienestar</t>
  </si>
  <si>
    <t>Resumen Final</t>
  </si>
  <si>
    <t>% ingreso a Bienestar</t>
  </si>
  <si>
    <t>% de utilidad</t>
  </si>
  <si>
    <t>1 Mesa</t>
  </si>
  <si>
    <t>1 Silla</t>
  </si>
  <si>
    <t>Unidades Pedidas</t>
  </si>
  <si>
    <t>Producto</t>
  </si>
  <si>
    <t>Pack</t>
  </si>
  <si>
    <t>Unid</t>
  </si>
  <si>
    <t>Cant.</t>
  </si>
  <si>
    <t>Descripcion</t>
  </si>
  <si>
    <t>Cachantun sin gas</t>
  </si>
  <si>
    <t>Cerveza Cristal 350 cc</t>
  </si>
  <si>
    <t>Cerveza Escudo 350 cc</t>
  </si>
  <si>
    <t>Energizante Red Bull</t>
  </si>
  <si>
    <t>Vino Individual</t>
  </si>
  <si>
    <t>Santa emiliana</t>
  </si>
  <si>
    <t>Carmen Margot</t>
  </si>
  <si>
    <t>Misioneros de Rengo</t>
  </si>
  <si>
    <t>Casillero del Diablo</t>
  </si>
  <si>
    <t>Garrafas de pipeño</t>
  </si>
  <si>
    <t>Granadina</t>
  </si>
  <si>
    <t>Vodka</t>
  </si>
  <si>
    <t>Mistral</t>
  </si>
  <si>
    <t>Ron Barcelo</t>
  </si>
  <si>
    <t>Wisky Sandy</t>
  </si>
  <si>
    <t>Wisky Ballantines</t>
  </si>
  <si>
    <t>Wisky White Horse</t>
  </si>
  <si>
    <t>Wisky Jonny Walker</t>
  </si>
  <si>
    <t>Coca Cola Light</t>
  </si>
  <si>
    <t>Coca Cola Zero</t>
  </si>
  <si>
    <t>Sprite Light</t>
  </si>
  <si>
    <t>Jugos Watts Normal</t>
  </si>
  <si>
    <t>Coca Cola Normal</t>
  </si>
  <si>
    <t>Vinos</t>
  </si>
  <si>
    <t>Santa Emiliana</t>
  </si>
  <si>
    <t>Misiones de Rengo</t>
  </si>
  <si>
    <t>Casillero del diablo</t>
  </si>
  <si>
    <t>Bebidas Lata</t>
  </si>
  <si>
    <t>Fanta</t>
  </si>
  <si>
    <t>Sprite Normal</t>
  </si>
  <si>
    <t>Boca Ancha Normal</t>
  </si>
  <si>
    <t>Energizante</t>
  </si>
  <si>
    <t>Cervezas</t>
  </si>
  <si>
    <t>Escudo</t>
  </si>
  <si>
    <t>Cristal</t>
  </si>
  <si>
    <t>Corona</t>
  </si>
  <si>
    <t>Sin Alcohol</t>
  </si>
  <si>
    <t>Sour y Mojito</t>
  </si>
  <si>
    <t>Licores + 4 bebidas</t>
  </si>
  <si>
    <t>Whisky  Sandy</t>
  </si>
  <si>
    <t>Whisky  Ballantines</t>
  </si>
  <si>
    <t>Whisky Horse White</t>
  </si>
  <si>
    <t>Whisky Johnnie Walker</t>
  </si>
  <si>
    <t>Individual</t>
  </si>
  <si>
    <t>Royal</t>
  </si>
  <si>
    <t>Mistral Ace</t>
  </si>
  <si>
    <t>Mineral con gas</t>
  </si>
  <si>
    <t>Mineral sin gas</t>
  </si>
  <si>
    <t>Terremoto Adulto</t>
  </si>
  <si>
    <t>Terremoto Niños</t>
  </si>
  <si>
    <t>Recarga de Copas de vino</t>
  </si>
  <si>
    <t>Aguas y Jugos</t>
  </si>
  <si>
    <t>Whisky Jack Daniel Normal</t>
  </si>
  <si>
    <t>Whisky Jack Daniel Canela</t>
  </si>
  <si>
    <t>Whisky Jack Daniel Miel</t>
  </si>
  <si>
    <t>Pisco Capel</t>
  </si>
  <si>
    <t>Cigrrillos</t>
  </si>
  <si>
    <t>Pall Mall 10 unidades</t>
  </si>
  <si>
    <t>Pall Mall Click 10 unidades</t>
  </si>
  <si>
    <t>Pall Mall 20 unidades</t>
  </si>
  <si>
    <t>Pall Mall click 20 unidades</t>
  </si>
  <si>
    <t>Belmont Kent 20 unidades</t>
  </si>
  <si>
    <t>Lucky Strike 20 unidades</t>
  </si>
  <si>
    <t>Belmont 10 unidades</t>
  </si>
  <si>
    <t>Cerveza sin alcohol 350 cc</t>
  </si>
  <si>
    <t>Vino Casillero</t>
  </si>
  <si>
    <t>Jugo boca ancha</t>
  </si>
  <si>
    <t>Cerveza Royal</t>
  </si>
  <si>
    <t>Cervez Sin Alcohol</t>
  </si>
  <si>
    <t>Whisky Jack Daniels</t>
  </si>
  <si>
    <t>Pipeño</t>
  </si>
  <si>
    <t>Vino individual</t>
  </si>
  <si>
    <t>Jugo 1,5 lts</t>
  </si>
  <si>
    <t>Vino Misiones</t>
  </si>
  <si>
    <t>Vino Carmen M</t>
  </si>
  <si>
    <t>Whisky White Horse</t>
  </si>
  <si>
    <t>Sprite zero</t>
  </si>
  <si>
    <t>Pall mall rojo azul - 20</t>
  </si>
  <si>
    <t>Belmont Ken Azul - 20</t>
  </si>
  <si>
    <t>Lucky Strike - 20</t>
  </si>
  <si>
    <t>Pall mall azul click - 10</t>
  </si>
  <si>
    <t>Pall mall verde click - 10</t>
  </si>
  <si>
    <t>Lucky Strike - 10</t>
  </si>
  <si>
    <t>Pedidos - sabado</t>
  </si>
  <si>
    <t>Pedidos - doming</t>
  </si>
  <si>
    <t>Mojito Ace</t>
  </si>
  <si>
    <t>Pedidos Totales</t>
  </si>
  <si>
    <t>Unidades</t>
  </si>
  <si>
    <t>Arriendo de mesas</t>
  </si>
  <si>
    <t>Efectivo</t>
  </si>
  <si>
    <t>Banco</t>
  </si>
  <si>
    <t>Mesas</t>
  </si>
  <si>
    <t>Pilas, caja dinero, lector de billetes</t>
  </si>
  <si>
    <t>Lector billetes</t>
  </si>
  <si>
    <t>Hielo</t>
  </si>
  <si>
    <t>Casatas</t>
  </si>
  <si>
    <t>Sabado dia</t>
  </si>
  <si>
    <t>Sabado noche</t>
  </si>
  <si>
    <t>Domingo dia</t>
  </si>
  <si>
    <t>Hernan Barrause</t>
  </si>
  <si>
    <t>Genaro Soto</t>
  </si>
  <si>
    <t>Rita</t>
  </si>
  <si>
    <t>Iris Maldonado</t>
  </si>
  <si>
    <t>Michelle</t>
  </si>
  <si>
    <t>Otros</t>
  </si>
  <si>
    <t>San Roberto</t>
  </si>
  <si>
    <t>Monedas</t>
  </si>
  <si>
    <t>13 Silla</t>
  </si>
  <si>
    <t>Personal</t>
  </si>
  <si>
    <t>Rita Soto</t>
  </si>
  <si>
    <t>Maria inés Yáñez Orellna</t>
  </si>
  <si>
    <t>Michelle Jelve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</si>
</sst>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h:mm:ss;@"/>
    <numFmt numFmtId="166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10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DotDot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DotDot">
        <color auto="1"/>
      </bottom>
      <diagonal/>
    </border>
    <border>
      <left style="medium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medium">
        <color auto="1"/>
      </right>
      <top style="dashDotDot">
        <color auto="1"/>
      </top>
      <bottom style="dashDotDot">
        <color auto="1"/>
      </bottom>
      <diagonal/>
    </border>
    <border>
      <left style="medium">
        <color auto="1"/>
      </left>
      <right style="thin">
        <color auto="1"/>
      </right>
      <top style="dashDotDot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DotDot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DotDot">
        <color auto="1"/>
      </top>
      <bottom/>
      <diagonal/>
    </border>
    <border>
      <left style="thin">
        <color auto="1"/>
      </left>
      <right style="medium">
        <color auto="1"/>
      </right>
      <top style="dashDotDot">
        <color auto="1"/>
      </top>
      <bottom/>
      <diagonal/>
    </border>
    <border>
      <left style="medium">
        <color auto="1"/>
      </left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 style="medium">
        <color auto="1"/>
      </right>
      <top/>
      <bottom style="dashDot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 style="thin">
        <color auto="1"/>
      </left>
      <right/>
      <top style="thin">
        <color auto="1"/>
      </top>
      <bottom style="dashDot">
        <color auto="1"/>
      </bottom>
      <diagonal/>
    </border>
    <border>
      <left/>
      <right style="thin">
        <color auto="1"/>
      </right>
      <top style="thin">
        <color auto="1"/>
      </top>
      <bottom style="dashDot">
        <color auto="1"/>
      </bottom>
      <diagonal/>
    </border>
    <border>
      <left/>
      <right/>
      <top style="thin">
        <color auto="1"/>
      </top>
      <bottom style="dashDot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/>
      <right/>
      <top style="medium">
        <color rgb="FF002060"/>
      </top>
      <bottom style="hair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/>
      <diagonal/>
    </border>
    <border>
      <left style="medium">
        <color rgb="FF002060"/>
      </left>
      <right/>
      <top style="dashDotDot">
        <color rgb="FF002060"/>
      </top>
      <bottom style="dashDotDot">
        <color rgb="FF002060"/>
      </bottom>
      <diagonal/>
    </border>
    <border>
      <left/>
      <right/>
      <top style="dashDotDot">
        <color rgb="FF002060"/>
      </top>
      <bottom style="dashDotDot">
        <color rgb="FF002060"/>
      </bottom>
      <diagonal/>
    </border>
    <border>
      <left/>
      <right style="medium">
        <color rgb="FF002060"/>
      </right>
      <top style="dashDotDot">
        <color rgb="FF002060"/>
      </top>
      <bottom style="dashDotDot">
        <color rgb="FF002060"/>
      </bottom>
      <diagonal/>
    </border>
    <border>
      <left style="medium">
        <color rgb="FF002060"/>
      </left>
      <right style="medium">
        <color rgb="FF002060"/>
      </right>
      <top style="dashDotDot">
        <color rgb="FF002060"/>
      </top>
      <bottom style="dashDotDot">
        <color rgb="FF002060"/>
      </bottom>
      <diagonal/>
    </border>
    <border>
      <left style="medium">
        <color rgb="FF002060"/>
      </left>
      <right/>
      <top style="dashDotDot">
        <color rgb="FF002060"/>
      </top>
      <bottom style="medium">
        <color rgb="FF002060"/>
      </bottom>
      <diagonal/>
    </border>
    <border>
      <left/>
      <right/>
      <top style="dashDotDot">
        <color rgb="FF002060"/>
      </top>
      <bottom style="medium">
        <color rgb="FF002060"/>
      </bottom>
      <diagonal/>
    </border>
    <border>
      <left/>
      <right style="medium">
        <color rgb="FF002060"/>
      </right>
      <top style="dashDotDot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dashDotDot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dashDotDot">
        <color rgb="FF002060"/>
      </bottom>
      <diagonal/>
    </border>
    <border>
      <left/>
      <right/>
      <top style="hair">
        <color rgb="FF002060"/>
      </top>
      <bottom/>
      <diagonal/>
    </border>
    <border>
      <left/>
      <right style="medium">
        <color rgb="FF002060"/>
      </right>
      <top style="hair">
        <color rgb="FF002060"/>
      </top>
      <bottom/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dashDotDot">
        <color rgb="FF002060"/>
      </bottom>
      <diagonal/>
    </border>
    <border>
      <left/>
      <right/>
      <top style="medium">
        <color rgb="FF002060"/>
      </top>
      <bottom style="dashDotDot">
        <color rgb="FF002060"/>
      </bottom>
      <diagonal/>
    </border>
    <border>
      <left/>
      <right style="medium">
        <color rgb="FF002060"/>
      </right>
      <top style="medium">
        <color rgb="FF002060"/>
      </top>
      <bottom style="dashDotDot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dashDot">
        <color rgb="FF002060"/>
      </bottom>
      <diagonal/>
    </border>
    <border>
      <left style="medium">
        <color rgb="FF002060"/>
      </left>
      <right style="medium">
        <color rgb="FF002060"/>
      </right>
      <top style="dashDot">
        <color rgb="FF002060"/>
      </top>
      <bottom style="dashDot">
        <color rgb="FF002060"/>
      </bottom>
      <diagonal/>
    </border>
    <border>
      <left style="medium">
        <color rgb="FF002060"/>
      </left>
      <right style="medium">
        <color rgb="FF002060"/>
      </right>
      <top style="dashDot">
        <color rgb="FF002060"/>
      </top>
      <bottom style="medium">
        <color rgb="FF00206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rgb="FF002060"/>
      </left>
      <right/>
      <top style="thick">
        <color rgb="FF002060"/>
      </top>
      <bottom style="thin">
        <color auto="1"/>
      </bottom>
      <diagonal/>
    </border>
    <border>
      <left/>
      <right/>
      <top style="thick">
        <color rgb="FF002060"/>
      </top>
      <bottom style="thin">
        <color auto="1"/>
      </bottom>
      <diagonal/>
    </border>
    <border>
      <left/>
      <right style="thick">
        <color rgb="FF002060"/>
      </right>
      <top style="thick">
        <color rgb="FF002060"/>
      </top>
      <bottom style="thin">
        <color auto="1"/>
      </bottom>
      <diagonal/>
    </border>
    <border>
      <left style="thick">
        <color rgb="FF002060"/>
      </left>
      <right/>
      <top style="thin">
        <color auto="1"/>
      </top>
      <bottom style="medium">
        <color auto="1"/>
      </bottom>
      <diagonal/>
    </border>
    <border>
      <left/>
      <right style="thick">
        <color rgb="FF002060"/>
      </right>
      <top style="thin">
        <color auto="1"/>
      </top>
      <bottom style="medium">
        <color auto="1"/>
      </bottom>
      <diagonal/>
    </border>
    <border>
      <left style="thick">
        <color rgb="FF00206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rgb="FF002060"/>
      </right>
      <top style="medium">
        <color auto="1"/>
      </top>
      <bottom style="thin">
        <color auto="1"/>
      </bottom>
      <diagonal/>
    </border>
    <border>
      <left style="thick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2060"/>
      </right>
      <top style="thin">
        <color auto="1"/>
      </top>
      <bottom style="thin">
        <color auto="1"/>
      </bottom>
      <diagonal/>
    </border>
    <border>
      <left style="thick">
        <color rgb="FF002060"/>
      </left>
      <right style="thin">
        <color auto="1"/>
      </right>
      <top style="thin">
        <color auto="1"/>
      </top>
      <bottom/>
      <diagonal/>
    </border>
    <border>
      <left style="thick">
        <color rgb="FF002060"/>
      </left>
      <right style="thin">
        <color auto="1"/>
      </right>
      <top style="thin">
        <color auto="1"/>
      </top>
      <bottom style="thick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2060"/>
      </bottom>
      <diagonal/>
    </border>
    <border>
      <left style="thin">
        <color auto="1"/>
      </left>
      <right style="thick">
        <color rgb="FF002060"/>
      </right>
      <top style="thin">
        <color auto="1"/>
      </top>
      <bottom style="thick">
        <color rgb="FF002060"/>
      </bottom>
      <diagonal/>
    </border>
    <border>
      <left style="thick">
        <color rgb="FF002060"/>
      </left>
      <right style="thin">
        <color rgb="FF002060"/>
      </right>
      <top style="dashDot">
        <color rgb="FF002060"/>
      </top>
      <bottom style="dashDot">
        <color rgb="FF002060"/>
      </bottom>
      <diagonal/>
    </border>
    <border>
      <left style="thin">
        <color rgb="FF002060"/>
      </left>
      <right style="thick">
        <color rgb="FF002060"/>
      </right>
      <top style="dashDot">
        <color rgb="FF002060"/>
      </top>
      <bottom style="dashDot">
        <color rgb="FF002060"/>
      </bottom>
      <diagonal/>
    </border>
    <border>
      <left style="thick">
        <color rgb="FF002060"/>
      </left>
      <right style="thin">
        <color rgb="FF002060"/>
      </right>
      <top style="dashDot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dashDot">
        <color rgb="FF002060"/>
      </top>
      <bottom style="thick">
        <color rgb="FF002060"/>
      </bottom>
      <diagonal/>
    </border>
    <border>
      <left style="thick">
        <color rgb="FF002060"/>
      </left>
      <right style="thin">
        <color rgb="FF002060"/>
      </right>
      <top/>
      <bottom style="dashDot">
        <color rgb="FF002060"/>
      </bottom>
      <diagonal/>
    </border>
    <border>
      <left style="thin">
        <color rgb="FF002060"/>
      </left>
      <right style="thick">
        <color rgb="FF002060"/>
      </right>
      <top/>
      <bottom style="dashDot">
        <color rgb="FF002060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n">
        <color rgb="FF002060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407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3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1" xfId="0" applyFont="1" applyBorder="1"/>
    <xf numFmtId="3" fontId="0" fillId="0" borderId="2" xfId="0" applyNumberFormat="1" applyFont="1" applyBorder="1"/>
    <xf numFmtId="3" fontId="0" fillId="0" borderId="3" xfId="0" applyNumberFormat="1" applyFont="1" applyBorder="1"/>
    <xf numFmtId="0" fontId="0" fillId="0" borderId="4" xfId="0" applyFont="1" applyBorder="1"/>
    <xf numFmtId="3" fontId="0" fillId="0" borderId="5" xfId="0" applyNumberFormat="1" applyFont="1" applyBorder="1"/>
    <xf numFmtId="3" fontId="0" fillId="0" borderId="6" xfId="0" applyNumberFormat="1" applyFont="1" applyBorder="1"/>
    <xf numFmtId="0" fontId="0" fillId="0" borderId="5" xfId="0" applyFont="1" applyBorder="1"/>
    <xf numFmtId="0" fontId="0" fillId="0" borderId="7" xfId="0" applyFont="1" applyBorder="1"/>
    <xf numFmtId="3" fontId="0" fillId="0" borderId="8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/>
    <xf numFmtId="0" fontId="0" fillId="0" borderId="13" xfId="0" applyFont="1" applyBorder="1"/>
    <xf numFmtId="49" fontId="0" fillId="0" borderId="14" xfId="0" applyNumberFormat="1" applyFont="1" applyBorder="1"/>
    <xf numFmtId="3" fontId="0" fillId="0" borderId="14" xfId="0" applyNumberFormat="1" applyFont="1" applyBorder="1"/>
    <xf numFmtId="3" fontId="0" fillId="0" borderId="15" xfId="0" applyNumberFormat="1" applyFont="1" applyBorder="1"/>
    <xf numFmtId="0" fontId="0" fillId="0" borderId="16" xfId="0" applyFont="1" applyBorder="1"/>
    <xf numFmtId="49" fontId="0" fillId="0" borderId="17" xfId="0" applyNumberFormat="1" applyFont="1" applyBorder="1"/>
    <xf numFmtId="3" fontId="0" fillId="0" borderId="17" xfId="0" applyNumberFormat="1" applyFont="1" applyBorder="1"/>
    <xf numFmtId="3" fontId="0" fillId="0" borderId="18" xfId="0" applyNumberFormat="1" applyFont="1" applyBorder="1"/>
    <xf numFmtId="0" fontId="0" fillId="0" borderId="19" xfId="0" applyFont="1" applyBorder="1"/>
    <xf numFmtId="49" fontId="0" fillId="0" borderId="20" xfId="0" applyNumberFormat="1" applyFont="1" applyBorder="1"/>
    <xf numFmtId="3" fontId="0" fillId="0" borderId="20" xfId="0" applyNumberFormat="1" applyFont="1" applyBorder="1"/>
    <xf numFmtId="3" fontId="0" fillId="0" borderId="21" xfId="0" applyNumberFormat="1" applyFont="1" applyBorder="1"/>
    <xf numFmtId="4" fontId="3" fillId="0" borderId="14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3" fontId="0" fillId="0" borderId="0" xfId="0" applyNumberFormat="1" applyFont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13" xfId="0" applyFont="1" applyBorder="1"/>
    <xf numFmtId="3" fontId="5" fillId="0" borderId="15" xfId="0" applyNumberFormat="1" applyFont="1" applyBorder="1"/>
    <xf numFmtId="0" fontId="5" fillId="0" borderId="16" xfId="0" applyFont="1" applyBorder="1"/>
    <xf numFmtId="3" fontId="5" fillId="0" borderId="18" xfId="0" applyNumberFormat="1" applyFont="1" applyBorder="1"/>
    <xf numFmtId="0" fontId="5" fillId="0" borderId="22" xfId="0" applyFont="1" applyBorder="1"/>
    <xf numFmtId="3" fontId="5" fillId="0" borderId="23" xfId="0" applyNumberFormat="1" applyFont="1" applyBorder="1"/>
    <xf numFmtId="0" fontId="5" fillId="0" borderId="24" xfId="0" applyFont="1" applyBorder="1"/>
    <xf numFmtId="3" fontId="5" fillId="0" borderId="25" xfId="0" applyNumberFormat="1" applyFont="1" applyBorder="1"/>
    <xf numFmtId="0" fontId="5" fillId="0" borderId="19" xfId="0" applyFont="1" applyBorder="1"/>
    <xf numFmtId="3" fontId="5" fillId="0" borderId="21" xfId="0" applyNumberFormat="1" applyFont="1" applyBorder="1"/>
    <xf numFmtId="3" fontId="6" fillId="0" borderId="0" xfId="0" applyNumberFormat="1" applyFont="1" applyAlignment="1">
      <alignment horizontal="center"/>
    </xf>
    <xf numFmtId="3" fontId="5" fillId="0" borderId="0" xfId="0" applyNumberFormat="1" applyFont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3" fontId="0" fillId="0" borderId="26" xfId="0" applyNumberFormat="1" applyFont="1" applyBorder="1"/>
    <xf numFmtId="3" fontId="0" fillId="0" borderId="27" xfId="0" applyNumberFormat="1" applyFont="1" applyBorder="1"/>
    <xf numFmtId="0" fontId="0" fillId="0" borderId="27" xfId="0" applyFont="1" applyBorder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/>
    <xf numFmtId="3" fontId="7" fillId="0" borderId="0" xfId="0" applyNumberFormat="1" applyFont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7" fillId="0" borderId="36" xfId="0" applyFont="1" applyBorder="1" applyAlignment="1">
      <alignment horizontal="center"/>
    </xf>
    <xf numFmtId="3" fontId="0" fillId="0" borderId="0" xfId="0" applyNumberFormat="1"/>
    <xf numFmtId="0" fontId="0" fillId="0" borderId="37" xfId="0" applyFont="1" applyBorder="1"/>
    <xf numFmtId="3" fontId="0" fillId="0" borderId="38" xfId="0" applyNumberFormat="1" applyFont="1" applyBorder="1"/>
    <xf numFmtId="0" fontId="0" fillId="0" borderId="22" xfId="0" applyFont="1" applyBorder="1"/>
    <xf numFmtId="49" fontId="0" fillId="0" borderId="39" xfId="0" applyNumberFormat="1" applyFont="1" applyBorder="1"/>
    <xf numFmtId="3" fontId="0" fillId="0" borderId="39" xfId="0" applyNumberFormat="1" applyFont="1" applyBorder="1"/>
    <xf numFmtId="4" fontId="3" fillId="0" borderId="39" xfId="0" applyNumberFormat="1" applyFont="1" applyBorder="1" applyAlignment="1">
      <alignment horizontal="center"/>
    </xf>
    <xf numFmtId="3" fontId="0" fillId="0" borderId="23" xfId="0" applyNumberFormat="1" applyFont="1" applyBorder="1"/>
    <xf numFmtId="165" fontId="0" fillId="0" borderId="10" xfId="0" applyNumberFormat="1" applyBorder="1" applyAlignment="1">
      <alignment horizontal="center"/>
    </xf>
    <xf numFmtId="165" fontId="0" fillId="0" borderId="10" xfId="0" applyNumberFormat="1" applyBorder="1" applyAlignment="1"/>
    <xf numFmtId="165" fontId="0" fillId="0" borderId="11" xfId="0" applyNumberFormat="1" applyBorder="1" applyAlignment="1">
      <alignment horizontal="center"/>
    </xf>
    <xf numFmtId="165" fontId="0" fillId="3" borderId="10" xfId="0" applyNumberFormat="1" applyFill="1" applyBorder="1" applyAlignment="1">
      <alignment horizontal="center"/>
    </xf>
    <xf numFmtId="0" fontId="0" fillId="3" borderId="0" xfId="0" applyFill="1"/>
    <xf numFmtId="165" fontId="8" fillId="0" borderId="1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3" fontId="8" fillId="0" borderId="2" xfId="0" applyNumberFormat="1" applyFont="1" applyBorder="1"/>
    <xf numFmtId="3" fontId="8" fillId="0" borderId="5" xfId="0" applyNumberFormat="1" applyFont="1" applyBorder="1"/>
    <xf numFmtId="3" fontId="8" fillId="0" borderId="27" xfId="0" applyNumberFormat="1" applyFont="1" applyBorder="1"/>
    <xf numFmtId="0" fontId="8" fillId="0" borderId="5" xfId="0" applyFont="1" applyBorder="1"/>
    <xf numFmtId="0" fontId="8" fillId="0" borderId="27" xfId="0" applyFont="1" applyBorder="1"/>
    <xf numFmtId="0" fontId="8" fillId="0" borderId="8" xfId="0" applyFont="1" applyBorder="1"/>
    <xf numFmtId="0" fontId="8" fillId="0" borderId="28" xfId="0" applyFont="1" applyBorder="1"/>
    <xf numFmtId="0" fontId="7" fillId="0" borderId="0" xfId="0" applyFont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0" fillId="0" borderId="0" xfId="0" applyNumberFormat="1" applyAlignment="1">
      <alignment horizontal="right"/>
    </xf>
    <xf numFmtId="165" fontId="9" fillId="0" borderId="10" xfId="0" applyNumberFormat="1" applyFont="1" applyBorder="1" applyAlignment="1">
      <alignment horizontal="center"/>
    </xf>
    <xf numFmtId="165" fontId="9" fillId="3" borderId="10" xfId="0" applyNumberFormat="1" applyFont="1" applyFill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5" fontId="8" fillId="3" borderId="1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38" xfId="0" applyNumberFormat="1" applyBorder="1"/>
    <xf numFmtId="3" fontId="0" fillId="0" borderId="44" xfId="0" applyNumberFormat="1" applyBorder="1"/>
    <xf numFmtId="3" fontId="0" fillId="0" borderId="45" xfId="0" applyNumberFormat="1" applyBorder="1"/>
    <xf numFmtId="0" fontId="0" fillId="0" borderId="0" xfId="0" applyBorder="1" applyAlignment="1">
      <alignment horizontal="right"/>
    </xf>
    <xf numFmtId="3" fontId="0" fillId="0" borderId="0" xfId="0" applyNumberFormat="1" applyBorder="1"/>
    <xf numFmtId="3" fontId="0" fillId="0" borderId="5" xfId="0" applyNumberFormat="1" applyBorder="1"/>
    <xf numFmtId="3" fontId="0" fillId="0" borderId="48" xfId="0" applyNumberFormat="1" applyBorder="1"/>
    <xf numFmtId="3" fontId="0" fillId="0" borderId="49" xfId="0" applyNumberFormat="1" applyFont="1" applyBorder="1"/>
    <xf numFmtId="3" fontId="3" fillId="0" borderId="50" xfId="0" applyNumberFormat="1" applyFont="1" applyBorder="1" applyAlignment="1">
      <alignment horizontal="center"/>
    </xf>
    <xf numFmtId="3" fontId="0" fillId="0" borderId="51" xfId="0" applyNumberFormat="1" applyFont="1" applyBorder="1"/>
    <xf numFmtId="3" fontId="3" fillId="0" borderId="52" xfId="0" applyNumberFormat="1" applyFont="1" applyBorder="1" applyAlignment="1">
      <alignment horizontal="center"/>
    </xf>
    <xf numFmtId="3" fontId="0" fillId="0" borderId="53" xfId="0" applyNumberFormat="1" applyFont="1" applyBorder="1"/>
    <xf numFmtId="3" fontId="3" fillId="0" borderId="54" xfId="0" applyNumberFormat="1" applyFont="1" applyBorder="1" applyAlignment="1">
      <alignment horizontal="center"/>
    </xf>
    <xf numFmtId="3" fontId="0" fillId="0" borderId="46" xfId="0" applyNumberFormat="1" applyFont="1" applyBorder="1"/>
    <xf numFmtId="3" fontId="3" fillId="0" borderId="48" xfId="0" applyNumberFormat="1" applyFont="1" applyBorder="1" applyAlignment="1">
      <alignment horizontal="center"/>
    </xf>
    <xf numFmtId="3" fontId="10" fillId="0" borderId="52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10" fontId="7" fillId="0" borderId="0" xfId="0" applyNumberFormat="1" applyFont="1" applyAlignment="1">
      <alignment horizontal="center"/>
    </xf>
    <xf numFmtId="10" fontId="2" fillId="0" borderId="0" xfId="0" applyNumberFormat="1" applyFont="1"/>
    <xf numFmtId="4" fontId="0" fillId="0" borderId="0" xfId="0" applyNumberFormat="1"/>
    <xf numFmtId="165" fontId="8" fillId="2" borderId="10" xfId="0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0" fontId="0" fillId="2" borderId="0" xfId="0" applyFill="1"/>
    <xf numFmtId="165" fontId="9" fillId="2" borderId="10" xfId="0" applyNumberFormat="1" applyFont="1" applyFill="1" applyBorder="1" applyAlignment="1">
      <alignment horizontal="center"/>
    </xf>
    <xf numFmtId="4" fontId="0" fillId="2" borderId="0" xfId="0" applyNumberFormat="1" applyFill="1"/>
    <xf numFmtId="165" fontId="8" fillId="4" borderId="10" xfId="0" applyNumberFormat="1" applyFont="1" applyFill="1" applyBorder="1" applyAlignment="1">
      <alignment horizontal="center"/>
    </xf>
    <xf numFmtId="3" fontId="8" fillId="4" borderId="10" xfId="0" applyNumberFormat="1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0" fontId="0" fillId="4" borderId="0" xfId="0" applyFill="1"/>
    <xf numFmtId="165" fontId="0" fillId="4" borderId="11" xfId="0" applyNumberFormat="1" applyFill="1" applyBorder="1" applyAlignment="1">
      <alignment horizontal="center"/>
    </xf>
    <xf numFmtId="165" fontId="8" fillId="4" borderId="11" xfId="0" applyNumberFormat="1" applyFont="1" applyFill="1" applyBorder="1" applyAlignment="1">
      <alignment horizontal="center"/>
    </xf>
    <xf numFmtId="165" fontId="9" fillId="4" borderId="11" xfId="0" applyNumberFormat="1" applyFont="1" applyFill="1" applyBorder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165" fontId="8" fillId="4" borderId="12" xfId="0" applyNumberFormat="1" applyFont="1" applyFill="1" applyBorder="1" applyAlignment="1">
      <alignment horizontal="center"/>
    </xf>
    <xf numFmtId="165" fontId="9" fillId="4" borderId="12" xfId="0" applyNumberFormat="1" applyFont="1" applyFill="1" applyBorder="1" applyAlignment="1">
      <alignment horizontal="center"/>
    </xf>
    <xf numFmtId="165" fontId="0" fillId="4" borderId="10" xfId="0" applyNumberFormat="1" applyFill="1" applyBorder="1" applyAlignment="1">
      <alignment horizontal="center"/>
    </xf>
    <xf numFmtId="4" fontId="0" fillId="4" borderId="0" xfId="0" applyNumberFormat="1" applyFill="1"/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3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7" fillId="0" borderId="0" xfId="0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3" fillId="0" borderId="50" xfId="0" applyNumberFormat="1" applyFont="1" applyBorder="1" applyAlignment="1">
      <alignment horizontal="right"/>
    </xf>
    <xf numFmtId="3" fontId="3" fillId="0" borderId="52" xfId="0" applyNumberFormat="1" applyFont="1" applyBorder="1" applyAlignment="1">
      <alignment horizontal="right"/>
    </xf>
    <xf numFmtId="3" fontId="10" fillId="0" borderId="52" xfId="0" applyNumberFormat="1" applyFont="1" applyBorder="1" applyAlignment="1">
      <alignment horizontal="right"/>
    </xf>
    <xf numFmtId="3" fontId="11" fillId="0" borderId="52" xfId="0" applyNumberFormat="1" applyFont="1" applyBorder="1" applyAlignment="1">
      <alignment horizontal="right"/>
    </xf>
    <xf numFmtId="3" fontId="3" fillId="0" borderId="54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3" borderId="0" xfId="0" applyFill="1" applyBorder="1"/>
    <xf numFmtId="0" fontId="9" fillId="3" borderId="0" xfId="0" applyFont="1" applyFill="1" applyBorder="1"/>
    <xf numFmtId="0" fontId="9" fillId="3" borderId="0" xfId="0" applyFont="1" applyFill="1"/>
    <xf numFmtId="0" fontId="9" fillId="3" borderId="60" xfId="0" applyFont="1" applyFill="1" applyBorder="1"/>
    <xf numFmtId="0" fontId="9" fillId="3" borderId="61" xfId="0" applyFont="1" applyFill="1" applyBorder="1"/>
    <xf numFmtId="0" fontId="9" fillId="3" borderId="62" xfId="0" applyFont="1" applyFill="1" applyBorder="1"/>
    <xf numFmtId="0" fontId="9" fillId="3" borderId="63" xfId="0" applyFont="1" applyFill="1" applyBorder="1"/>
    <xf numFmtId="0" fontId="13" fillId="0" borderId="69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13" fillId="0" borderId="71" xfId="0" applyFont="1" applyBorder="1" applyAlignment="1">
      <alignment horizontal="center"/>
    </xf>
    <xf numFmtId="0" fontId="0" fillId="0" borderId="72" xfId="0" applyFill="1" applyBorder="1"/>
    <xf numFmtId="0" fontId="0" fillId="0" borderId="73" xfId="0" applyFill="1" applyBorder="1"/>
    <xf numFmtId="0" fontId="0" fillId="0" borderId="74" xfId="0" applyFill="1" applyBorder="1"/>
    <xf numFmtId="0" fontId="0" fillId="0" borderId="68" xfId="0" applyFill="1" applyBorder="1"/>
    <xf numFmtId="0" fontId="12" fillId="0" borderId="57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5" fillId="0" borderId="0" xfId="1" applyFont="1" applyBorder="1"/>
    <xf numFmtId="164" fontId="5" fillId="0" borderId="0" xfId="1" applyFont="1" applyBorder="1" applyAlignment="1">
      <alignment horizontal="center"/>
    </xf>
    <xf numFmtId="164" fontId="5" fillId="0" borderId="0" xfId="1" applyFont="1"/>
    <xf numFmtId="164" fontId="5" fillId="0" borderId="0" xfId="1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75" xfId="0" applyFill="1" applyBorder="1"/>
    <xf numFmtId="0" fontId="9" fillId="3" borderId="76" xfId="0" applyFont="1" applyFill="1" applyBorder="1"/>
    <xf numFmtId="3" fontId="0" fillId="0" borderId="75" xfId="0" applyNumberFormat="1" applyFill="1" applyBorder="1"/>
    <xf numFmtId="3" fontId="13" fillId="0" borderId="0" xfId="0" applyNumberFormat="1" applyFont="1" applyAlignment="1">
      <alignment horizontal="center"/>
    </xf>
    <xf numFmtId="3" fontId="9" fillId="3" borderId="76" xfId="0" applyNumberFormat="1" applyFont="1" applyFill="1" applyBorder="1"/>
    <xf numFmtId="0" fontId="9" fillId="3" borderId="64" xfId="0" applyFont="1" applyFill="1" applyBorder="1"/>
    <xf numFmtId="0" fontId="9" fillId="3" borderId="65" xfId="0" applyFont="1" applyFill="1" applyBorder="1"/>
    <xf numFmtId="0" fontId="9" fillId="3" borderId="66" xfId="0" applyFont="1" applyFill="1" applyBorder="1"/>
    <xf numFmtId="0" fontId="9" fillId="3" borderId="67" xfId="0" applyFont="1" applyFill="1" applyBorder="1"/>
    <xf numFmtId="0" fontId="9" fillId="3" borderId="77" xfId="0" applyFont="1" applyFill="1" applyBorder="1"/>
    <xf numFmtId="3" fontId="9" fillId="3" borderId="77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0" fillId="0" borderId="0" xfId="0" applyFill="1" applyBorder="1" applyAlignment="1"/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9" fillId="5" borderId="1" xfId="0" applyFont="1" applyFill="1" applyBorder="1"/>
    <xf numFmtId="3" fontId="9" fillId="5" borderId="2" xfId="0" applyNumberFormat="1" applyFont="1" applyFill="1" applyBorder="1"/>
    <xf numFmtId="3" fontId="9" fillId="5" borderId="26" xfId="0" applyNumberFormat="1" applyFont="1" applyFill="1" applyBorder="1"/>
    <xf numFmtId="3" fontId="9" fillId="5" borderId="3" xfId="0" applyNumberFormat="1" applyFont="1" applyFill="1" applyBorder="1"/>
    <xf numFmtId="0" fontId="15" fillId="5" borderId="0" xfId="0" applyFont="1" applyFill="1"/>
    <xf numFmtId="0" fontId="9" fillId="5" borderId="4" xfId="0" applyFont="1" applyFill="1" applyBorder="1"/>
    <xf numFmtId="3" fontId="9" fillId="5" borderId="5" xfId="0" applyNumberFormat="1" applyFont="1" applyFill="1" applyBorder="1"/>
    <xf numFmtId="3" fontId="9" fillId="5" borderId="27" xfId="0" applyNumberFormat="1" applyFont="1" applyFill="1" applyBorder="1"/>
    <xf numFmtId="3" fontId="9" fillId="5" borderId="6" xfId="0" applyNumberFormat="1" applyFont="1" applyFill="1" applyBorder="1"/>
    <xf numFmtId="3" fontId="15" fillId="5" borderId="0" xfId="0" applyNumberFormat="1" applyFont="1" applyFill="1"/>
    <xf numFmtId="0" fontId="3" fillId="2" borderId="0" xfId="0" applyFont="1" applyFill="1"/>
    <xf numFmtId="0" fontId="2" fillId="2" borderId="0" xfId="0" applyFont="1" applyFill="1"/>
    <xf numFmtId="0" fontId="7" fillId="0" borderId="84" xfId="0" applyFont="1" applyBorder="1" applyAlignment="1">
      <alignment horizontal="center"/>
    </xf>
    <xf numFmtId="0" fontId="7" fillId="0" borderId="85" xfId="0" applyFont="1" applyBorder="1" applyAlignment="1">
      <alignment horizontal="center"/>
    </xf>
    <xf numFmtId="3" fontId="9" fillId="5" borderId="88" xfId="0" applyNumberFormat="1" applyFont="1" applyFill="1" applyBorder="1"/>
    <xf numFmtId="3" fontId="9" fillId="5" borderId="89" xfId="0" applyNumberFormat="1" applyFont="1" applyFill="1" applyBorder="1"/>
    <xf numFmtId="3" fontId="0" fillId="0" borderId="88" xfId="0" applyNumberFormat="1" applyFont="1" applyBorder="1"/>
    <xf numFmtId="3" fontId="0" fillId="0" borderId="89" xfId="0" applyNumberFormat="1" applyFont="1" applyBorder="1"/>
    <xf numFmtId="3" fontId="0" fillId="0" borderId="90" xfId="0" applyNumberFormat="1" applyFont="1" applyBorder="1"/>
    <xf numFmtId="3" fontId="0" fillId="0" borderId="91" xfId="0" applyNumberFormat="1" applyFont="1" applyBorder="1"/>
    <xf numFmtId="3" fontId="0" fillId="0" borderId="92" xfId="0" applyNumberFormat="1" applyFont="1" applyBorder="1"/>
    <xf numFmtId="3" fontId="0" fillId="0" borderId="93" xfId="0" applyNumberFormat="1" applyFont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7" fillId="0" borderId="100" xfId="0" applyFont="1" applyFill="1" applyBorder="1" applyAlignment="1">
      <alignment horizontal="center"/>
    </xf>
    <xf numFmtId="0" fontId="7" fillId="0" borderId="10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9" fillId="6" borderId="98" xfId="0" applyNumberFormat="1" applyFont="1" applyFill="1" applyBorder="1" applyAlignment="1">
      <alignment horizontal="center"/>
    </xf>
    <xf numFmtId="3" fontId="9" fillId="6" borderId="99" xfId="0" applyNumberFormat="1" applyFont="1" applyFill="1" applyBorder="1" applyAlignment="1">
      <alignment horizontal="center"/>
    </xf>
    <xf numFmtId="3" fontId="9" fillId="6" borderId="94" xfId="0" applyNumberFormat="1" applyFont="1" applyFill="1" applyBorder="1" applyAlignment="1">
      <alignment horizontal="center"/>
    </xf>
    <xf numFmtId="3" fontId="9" fillId="6" borderId="95" xfId="0" applyNumberFormat="1" applyFont="1" applyFill="1" applyBorder="1" applyAlignment="1">
      <alignment horizontal="center"/>
    </xf>
    <xf numFmtId="3" fontId="9" fillId="6" borderId="96" xfId="0" applyNumberFormat="1" applyFont="1" applyFill="1" applyBorder="1" applyAlignment="1">
      <alignment horizontal="center"/>
    </xf>
    <xf numFmtId="3" fontId="9" fillId="6" borderId="97" xfId="0" applyNumberFormat="1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165" fontId="8" fillId="0" borderId="11" xfId="0" applyNumberFormat="1" applyFont="1" applyFill="1" applyBorder="1" applyAlignment="1">
      <alignment horizontal="center"/>
    </xf>
    <xf numFmtId="165" fontId="9" fillId="0" borderId="11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0" fontId="9" fillId="0" borderId="0" xfId="0" applyFont="1" applyFill="1"/>
    <xf numFmtId="4" fontId="9" fillId="0" borderId="0" xfId="0" applyNumberFormat="1" applyFont="1" applyFill="1"/>
    <xf numFmtId="3" fontId="9" fillId="0" borderId="0" xfId="0" applyNumberFormat="1" applyFont="1" applyFill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3" fontId="9" fillId="2" borderId="0" xfId="0" applyNumberFormat="1" applyFont="1" applyFill="1" applyAlignment="1">
      <alignment horizontal="center"/>
    </xf>
    <xf numFmtId="165" fontId="8" fillId="0" borderId="10" xfId="0" applyNumberFormat="1" applyFont="1" applyBorder="1" applyAlignment="1"/>
    <xf numFmtId="0" fontId="8" fillId="0" borderId="0" xfId="0" applyFont="1"/>
    <xf numFmtId="3" fontId="0" fillId="0" borderId="0" xfId="0" applyNumberFormat="1" applyFill="1" applyBorder="1" applyAlignment="1">
      <alignment horizontal="center"/>
    </xf>
    <xf numFmtId="0" fontId="11" fillId="7" borderId="0" xfId="0" applyFont="1" applyFill="1"/>
    <xf numFmtId="0" fontId="3" fillId="7" borderId="0" xfId="0" applyFont="1" applyFill="1"/>
    <xf numFmtId="0" fontId="3" fillId="0" borderId="0" xfId="0" applyFont="1" applyFill="1"/>
    <xf numFmtId="3" fontId="0" fillId="0" borderId="0" xfId="0" applyNumberFormat="1" applyFill="1"/>
    <xf numFmtId="0" fontId="7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3" fontId="9" fillId="0" borderId="78" xfId="0" applyNumberFormat="1" applyFont="1" applyFill="1" applyBorder="1"/>
    <xf numFmtId="3" fontId="9" fillId="0" borderId="26" xfId="0" applyNumberFormat="1" applyFont="1" applyFill="1" applyBorder="1"/>
    <xf numFmtId="3" fontId="9" fillId="0" borderId="79" xfId="0" applyNumberFormat="1" applyFont="1" applyFill="1" applyBorder="1"/>
    <xf numFmtId="3" fontId="9" fillId="0" borderId="27" xfId="0" applyNumberFormat="1" applyFont="1" applyFill="1" applyBorder="1"/>
    <xf numFmtId="3" fontId="0" fillId="0" borderId="27" xfId="0" applyNumberFormat="1" applyFont="1" applyFill="1" applyBorder="1"/>
    <xf numFmtId="3" fontId="0" fillId="0" borderId="79" xfId="0" applyNumberFormat="1" applyFont="1" applyFill="1" applyBorder="1"/>
    <xf numFmtId="0" fontId="0" fillId="5" borderId="4" xfId="0" applyFont="1" applyFill="1" applyBorder="1"/>
    <xf numFmtId="3" fontId="0" fillId="5" borderId="5" xfId="0" applyNumberFormat="1" applyFont="1" applyFill="1" applyBorder="1"/>
    <xf numFmtId="3" fontId="0" fillId="5" borderId="27" xfId="0" applyNumberFormat="1" applyFont="1" applyFill="1" applyBorder="1"/>
    <xf numFmtId="3" fontId="0" fillId="5" borderId="88" xfId="0" applyNumberFormat="1" applyFont="1" applyFill="1" applyBorder="1"/>
    <xf numFmtId="3" fontId="0" fillId="5" borderId="89" xfId="0" applyNumberFormat="1" applyFont="1" applyFill="1" applyBorder="1"/>
    <xf numFmtId="3" fontId="9" fillId="0" borderId="88" xfId="0" applyNumberFormat="1" applyFont="1" applyFill="1" applyBorder="1"/>
    <xf numFmtId="3" fontId="9" fillId="0" borderId="5" xfId="0" applyNumberFormat="1" applyFont="1" applyFill="1" applyBorder="1"/>
    <xf numFmtId="3" fontId="9" fillId="0" borderId="89" xfId="0" applyNumberFormat="1" applyFont="1" applyFill="1" applyBorder="1"/>
    <xf numFmtId="3" fontId="0" fillId="0" borderId="88" xfId="0" applyNumberFormat="1" applyFont="1" applyFill="1" applyBorder="1"/>
    <xf numFmtId="3" fontId="0" fillId="0" borderId="5" xfId="0" applyNumberFormat="1" applyFont="1" applyFill="1" applyBorder="1"/>
    <xf numFmtId="3" fontId="0" fillId="0" borderId="89" xfId="0" applyNumberFormat="1" applyFont="1" applyFill="1" applyBorder="1"/>
    <xf numFmtId="0" fontId="0" fillId="5" borderId="7" xfId="0" applyFont="1" applyFill="1" applyBorder="1"/>
    <xf numFmtId="3" fontId="0" fillId="5" borderId="8" xfId="0" applyNumberFormat="1" applyFont="1" applyFill="1" applyBorder="1"/>
    <xf numFmtId="0" fontId="0" fillId="5" borderId="37" xfId="0" applyFont="1" applyFill="1" applyBorder="1"/>
    <xf numFmtId="3" fontId="0" fillId="5" borderId="38" xfId="0" applyNumberFormat="1" applyFont="1" applyFill="1" applyBorder="1"/>
    <xf numFmtId="3" fontId="8" fillId="5" borderId="5" xfId="0" applyNumberFormat="1" applyFont="1" applyFill="1" applyBorder="1"/>
    <xf numFmtId="3" fontId="9" fillId="0" borderId="86" xfId="0" applyNumberFormat="1" applyFont="1" applyFill="1" applyBorder="1"/>
    <xf numFmtId="3" fontId="9" fillId="0" borderId="2" xfId="0" applyNumberFormat="1" applyFont="1" applyFill="1" applyBorder="1"/>
    <xf numFmtId="3" fontId="9" fillId="0" borderId="87" xfId="0" applyNumberFormat="1" applyFont="1" applyFill="1" applyBorder="1"/>
    <xf numFmtId="3" fontId="0" fillId="5" borderId="90" xfId="0" applyNumberFormat="1" applyFont="1" applyFill="1" applyBorder="1"/>
    <xf numFmtId="3" fontId="9" fillId="5" borderId="79" xfId="0" applyNumberFormat="1" applyFont="1" applyFill="1" applyBorder="1"/>
    <xf numFmtId="3" fontId="0" fillId="5" borderId="79" xfId="0" applyNumberFormat="1" applyFont="1" applyFill="1" applyBorder="1"/>
    <xf numFmtId="3" fontId="16" fillId="5" borderId="79" xfId="0" applyNumberFormat="1" applyFont="1" applyFill="1" applyBorder="1"/>
    <xf numFmtId="0" fontId="9" fillId="5" borderId="79" xfId="0" applyFont="1" applyFill="1" applyBorder="1"/>
    <xf numFmtId="0" fontId="9" fillId="5" borderId="27" xfId="0" applyFont="1" applyFill="1" applyBorder="1"/>
    <xf numFmtId="0" fontId="9" fillId="5" borderId="80" xfId="0" applyFont="1" applyFill="1" applyBorder="1"/>
    <xf numFmtId="0" fontId="9" fillId="5" borderId="28" xfId="0" applyFont="1" applyFill="1" applyBorder="1"/>
    <xf numFmtId="3" fontId="8" fillId="5" borderId="79" xfId="0" applyNumberFormat="1" applyFont="1" applyFill="1" applyBorder="1"/>
    <xf numFmtId="3" fontId="0" fillId="0" borderId="0" xfId="0" applyNumberFormat="1" applyBorder="1" applyAlignment="1">
      <alignment horizontal="right"/>
    </xf>
    <xf numFmtId="165" fontId="8" fillId="5" borderId="10" xfId="0" applyNumberFormat="1" applyFont="1" applyFill="1" applyBorder="1" applyAlignment="1">
      <alignment horizontal="center"/>
    </xf>
    <xf numFmtId="3" fontId="9" fillId="5" borderId="10" xfId="0" applyNumberFormat="1" applyFont="1" applyFill="1" applyBorder="1" applyAlignment="1">
      <alignment horizontal="center"/>
    </xf>
    <xf numFmtId="165" fontId="9" fillId="5" borderId="10" xfId="0" applyNumberFormat="1" applyFont="1" applyFill="1" applyBorder="1" applyAlignment="1">
      <alignment horizontal="center"/>
    </xf>
    <xf numFmtId="0" fontId="9" fillId="5" borderId="0" xfId="0" applyFont="1" applyFill="1"/>
    <xf numFmtId="4" fontId="9" fillId="5" borderId="0" xfId="0" applyNumberFormat="1" applyFont="1" applyFill="1"/>
    <xf numFmtId="3" fontId="2" fillId="0" borderId="0" xfId="0" applyNumberFormat="1" applyFont="1"/>
    <xf numFmtId="3" fontId="2" fillId="2" borderId="0" xfId="0" applyNumberFormat="1" applyFont="1" applyFill="1"/>
    <xf numFmtId="0" fontId="9" fillId="2" borderId="0" xfId="0" applyFont="1" applyFill="1"/>
    <xf numFmtId="3" fontId="0" fillId="0" borderId="0" xfId="0" applyNumberFormat="1" applyAlignment="1"/>
    <xf numFmtId="3" fontId="0" fillId="3" borderId="0" xfId="0" applyNumberFormat="1" applyFill="1" applyBorder="1" applyAlignment="1">
      <alignment horizontal="center"/>
    </xf>
    <xf numFmtId="3" fontId="8" fillId="3" borderId="0" xfId="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8" fillId="0" borderId="10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4" fontId="9" fillId="0" borderId="43" xfId="0" applyNumberFormat="1" applyFont="1" applyFill="1" applyBorder="1" applyAlignment="1"/>
    <xf numFmtId="4" fontId="9" fillId="0" borderId="0" xfId="0" applyNumberFormat="1" applyFont="1" applyFill="1" applyAlignment="1"/>
    <xf numFmtId="0" fontId="8" fillId="5" borderId="10" xfId="0" applyFont="1" applyFill="1" applyBorder="1" applyAlignment="1">
      <alignment horizontal="right"/>
    </xf>
    <xf numFmtId="0" fontId="9" fillId="5" borderId="10" xfId="0" applyFont="1" applyFill="1" applyBorder="1" applyAlignment="1">
      <alignment horizontal="center"/>
    </xf>
    <xf numFmtId="4" fontId="9" fillId="5" borderId="43" xfId="0" applyNumberFormat="1" applyFont="1" applyFill="1" applyBorder="1" applyAlignment="1"/>
    <xf numFmtId="4" fontId="9" fillId="5" borderId="0" xfId="0" applyNumberFormat="1" applyFont="1" applyFill="1" applyAlignment="1"/>
    <xf numFmtId="0" fontId="0" fillId="0" borderId="4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8" fillId="0" borderId="10" xfId="0" applyFont="1" applyBorder="1" applyAlignment="1"/>
    <xf numFmtId="0" fontId="8" fillId="0" borderId="11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" fontId="9" fillId="0" borderId="43" xfId="0" applyNumberFormat="1" applyFont="1" applyBorder="1" applyAlignment="1"/>
    <xf numFmtId="4" fontId="9" fillId="0" borderId="0" xfId="0" applyNumberFormat="1" applyFont="1" applyAlignment="1"/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center"/>
    </xf>
    <xf numFmtId="0" fontId="0" fillId="0" borderId="0" xfId="0" applyAlignment="1"/>
    <xf numFmtId="3" fontId="0" fillId="0" borderId="0" xfId="0" applyNumberFormat="1" applyFill="1" applyAlignment="1"/>
    <xf numFmtId="0" fontId="0" fillId="0" borderId="0" xfId="0" applyFill="1" applyBorder="1" applyAlignment="1"/>
    <xf numFmtId="3" fontId="0" fillId="0" borderId="0" xfId="0" applyNumberFormat="1" applyAlignment="1"/>
    <xf numFmtId="3" fontId="0" fillId="0" borderId="0" xfId="0" applyNumberFormat="1" applyFill="1" applyBorder="1" applyAlignment="1">
      <alignment horizontal="center"/>
    </xf>
    <xf numFmtId="0" fontId="0" fillId="0" borderId="44" xfId="0" applyFont="1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45" xfId="0" applyFont="1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6" xfId="0" applyFont="1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8" xfId="0" applyFont="1" applyBorder="1" applyAlignment="1">
      <alignment horizontal="right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102" xfId="0" applyFill="1" applyBorder="1" applyAlignment="1">
      <alignment horizontal="center"/>
    </xf>
    <xf numFmtId="0" fontId="0" fillId="0" borderId="103" xfId="0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/>
    <xf numFmtId="0" fontId="0" fillId="2" borderId="10" xfId="0" applyFill="1" applyBorder="1" applyAlignment="1">
      <alignment horizontal="center"/>
    </xf>
    <xf numFmtId="4" fontId="0" fillId="0" borderId="43" xfId="0" applyNumberFormat="1" applyBorder="1" applyAlignment="1"/>
    <xf numFmtId="4" fontId="0" fillId="0" borderId="0" xfId="0" applyNumberFormat="1" applyAlignment="1"/>
    <xf numFmtId="4" fontId="0" fillId="4" borderId="43" xfId="0" applyNumberFormat="1" applyFill="1" applyBorder="1" applyAlignment="1"/>
    <xf numFmtId="4" fontId="0" fillId="4" borderId="0" xfId="0" applyNumberFormat="1" applyFill="1" applyAlignment="1"/>
    <xf numFmtId="4" fontId="0" fillId="2" borderId="43" xfId="0" applyNumberFormat="1" applyFill="1" applyBorder="1" applyAlignment="1"/>
    <xf numFmtId="4" fontId="0" fillId="2" borderId="0" xfId="0" applyNumberFormat="1" applyFill="1" applyAlignment="1"/>
    <xf numFmtId="0" fontId="0" fillId="0" borderId="11" xfId="0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4" borderId="1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2" borderId="0" xfId="0" applyFill="1" applyAlignment="1">
      <alignment horizontal="center"/>
    </xf>
    <xf numFmtId="0" fontId="0" fillId="4" borderId="12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12" fillId="0" borderId="5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166" fontId="0" fillId="0" borderId="0" xfId="0" applyNumberForma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1"/>
  <sheetViews>
    <sheetView workbookViewId="0">
      <selection activeCell="C29" sqref="C29"/>
    </sheetView>
  </sheetViews>
  <sheetFormatPr baseColWidth="10" defaultRowHeight="15" x14ac:dyDescent="0.25"/>
  <cols>
    <col min="2" max="2" width="25.5703125" customWidth="1"/>
  </cols>
  <sheetData>
    <row r="1" spans="2:3" x14ac:dyDescent="0.25">
      <c r="B1" t="s">
        <v>262</v>
      </c>
      <c r="C1" t="s">
        <v>132</v>
      </c>
    </row>
    <row r="2" spans="2:3" x14ac:dyDescent="0.25">
      <c r="B2" t="s">
        <v>253</v>
      </c>
      <c r="C2" s="71">
        <v>40000</v>
      </c>
    </row>
    <row r="3" spans="2:3" x14ac:dyDescent="0.25">
      <c r="B3" t="s">
        <v>110</v>
      </c>
      <c r="C3" s="71">
        <v>125416.66666666667</v>
      </c>
    </row>
    <row r="4" spans="2:3" x14ac:dyDescent="0.25">
      <c r="B4" t="s">
        <v>127</v>
      </c>
      <c r="C4" s="71">
        <v>45666.666666666664</v>
      </c>
    </row>
    <row r="5" spans="2:3" x14ac:dyDescent="0.25">
      <c r="B5" t="s">
        <v>40</v>
      </c>
      <c r="C5" s="71">
        <v>106250</v>
      </c>
    </row>
    <row r="6" spans="2:3" x14ac:dyDescent="0.25">
      <c r="B6" t="s">
        <v>117</v>
      </c>
      <c r="C6" s="71">
        <v>40000</v>
      </c>
    </row>
    <row r="7" spans="2:3" x14ac:dyDescent="0.25">
      <c r="B7" t="s">
        <v>47</v>
      </c>
      <c r="C7" s="71">
        <v>71250</v>
      </c>
    </row>
    <row r="8" spans="2:3" x14ac:dyDescent="0.25">
      <c r="B8" t="s">
        <v>115</v>
      </c>
      <c r="C8" s="71">
        <v>115000</v>
      </c>
    </row>
    <row r="9" spans="2:3" x14ac:dyDescent="0.25">
      <c r="B9" t="s">
        <v>44</v>
      </c>
      <c r="C9" s="71">
        <v>162500</v>
      </c>
    </row>
    <row r="10" spans="2:3" x14ac:dyDescent="0.25">
      <c r="B10" t="s">
        <v>263</v>
      </c>
      <c r="C10" s="71">
        <v>45000</v>
      </c>
    </row>
    <row r="11" spans="2:3" x14ac:dyDescent="0.25">
      <c r="B11" t="s">
        <v>113</v>
      </c>
      <c r="C11" s="71">
        <v>98000</v>
      </c>
    </row>
    <row r="12" spans="2:3" x14ac:dyDescent="0.25">
      <c r="B12" t="s">
        <v>64</v>
      </c>
      <c r="C12" s="71">
        <v>95000</v>
      </c>
    </row>
    <row r="13" spans="2:3" x14ac:dyDescent="0.25">
      <c r="B13" t="s">
        <v>112</v>
      </c>
      <c r="C13" s="71">
        <v>170000</v>
      </c>
    </row>
    <row r="14" spans="2:3" x14ac:dyDescent="0.25">
      <c r="B14" t="s">
        <v>57</v>
      </c>
      <c r="C14" s="71">
        <v>48083.333333333336</v>
      </c>
    </row>
    <row r="15" spans="2:3" x14ac:dyDescent="0.25">
      <c r="B15" t="s">
        <v>114</v>
      </c>
      <c r="C15" s="71">
        <v>60012.5</v>
      </c>
    </row>
    <row r="16" spans="2:3" x14ac:dyDescent="0.25">
      <c r="B16" t="s">
        <v>53</v>
      </c>
      <c r="C16" s="71">
        <v>123750</v>
      </c>
    </row>
    <row r="17" spans="2:3" x14ac:dyDescent="0.25">
      <c r="B17" t="s">
        <v>254</v>
      </c>
      <c r="C17" s="71">
        <v>66583.333333333328</v>
      </c>
    </row>
    <row r="18" spans="2:3" x14ac:dyDescent="0.25">
      <c r="B18" t="s">
        <v>111</v>
      </c>
      <c r="C18" s="71">
        <v>79000</v>
      </c>
    </row>
    <row r="19" spans="2:3" x14ac:dyDescent="0.25">
      <c r="B19" t="s">
        <v>256</v>
      </c>
      <c r="C19" s="71">
        <v>23833.333333333332</v>
      </c>
    </row>
    <row r="20" spans="2:3" x14ac:dyDescent="0.25">
      <c r="B20" t="s">
        <v>264</v>
      </c>
      <c r="C20" s="71">
        <v>45083.333333333336</v>
      </c>
    </row>
    <row r="21" spans="2:3" x14ac:dyDescent="0.25">
      <c r="B21" t="s">
        <v>265</v>
      </c>
      <c r="C21" s="71">
        <v>45333.333333333336</v>
      </c>
    </row>
    <row r="22" spans="2:3" x14ac:dyDescent="0.25">
      <c r="B22" t="s">
        <v>126</v>
      </c>
      <c r="C22" s="71">
        <v>91250</v>
      </c>
    </row>
    <row r="23" spans="2:3" x14ac:dyDescent="0.25">
      <c r="B23" t="s">
        <v>46</v>
      </c>
      <c r="C23">
        <v>0</v>
      </c>
    </row>
    <row r="24" spans="2:3" x14ac:dyDescent="0.25">
      <c r="C24">
        <v>2056512.4999999998</v>
      </c>
    </row>
    <row r="26" spans="2:3" x14ac:dyDescent="0.25">
      <c r="C26" s="71">
        <f>SUM(C2:C22)</f>
        <v>1697012.4999999998</v>
      </c>
    </row>
    <row r="27" spans="2:3" x14ac:dyDescent="0.25">
      <c r="C27" s="71" t="s">
        <v>46</v>
      </c>
    </row>
    <row r="31" spans="2:3" x14ac:dyDescent="0.25">
      <c r="C31" s="71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2"/>
  <sheetViews>
    <sheetView zoomScale="90" zoomScaleNormal="90" workbookViewId="0">
      <selection sqref="A1:XFD1048576"/>
    </sheetView>
  </sheetViews>
  <sheetFormatPr baseColWidth="10" defaultColWidth="11.5703125" defaultRowHeight="15" x14ac:dyDescent="0.25"/>
  <cols>
    <col min="1" max="1" width="5" customWidth="1"/>
  </cols>
  <sheetData>
    <row r="2" spans="1:31" x14ac:dyDescent="0.25">
      <c r="D2" s="333" t="s">
        <v>131</v>
      </c>
      <c r="E2" s="333"/>
      <c r="F2" s="333"/>
      <c r="G2" s="71">
        <v>5000</v>
      </c>
    </row>
    <row r="4" spans="1:31" s="219" customFormat="1" ht="24" customHeight="1" x14ac:dyDescent="0.25">
      <c r="B4" s="334" t="s">
        <v>250</v>
      </c>
      <c r="C4" s="334"/>
      <c r="D4" s="223" t="s">
        <v>107</v>
      </c>
      <c r="E4" s="223" t="s">
        <v>108</v>
      </c>
      <c r="F4" s="335" t="s">
        <v>109</v>
      </c>
      <c r="G4" s="336"/>
      <c r="H4" s="337"/>
      <c r="I4" s="334" t="s">
        <v>251</v>
      </c>
      <c r="J4" s="334"/>
      <c r="K4" s="223" t="s">
        <v>107</v>
      </c>
      <c r="L4" s="223" t="s">
        <v>108</v>
      </c>
      <c r="M4" s="335" t="s">
        <v>109</v>
      </c>
      <c r="N4" s="336"/>
      <c r="O4" s="337"/>
      <c r="P4" s="334" t="s">
        <v>252</v>
      </c>
      <c r="Q4" s="334"/>
      <c r="R4" s="223" t="s">
        <v>107</v>
      </c>
      <c r="S4" s="223" t="s">
        <v>108</v>
      </c>
      <c r="T4" s="335" t="s">
        <v>109</v>
      </c>
      <c r="U4" s="336"/>
      <c r="V4" s="336"/>
      <c r="W4" s="337"/>
      <c r="X4" s="346" t="s">
        <v>132</v>
      </c>
      <c r="Y4" s="347"/>
    </row>
    <row r="5" spans="1:31" s="219" customFormat="1" ht="24" customHeight="1" x14ac:dyDescent="0.25">
      <c r="B5" s="348" t="s">
        <v>31</v>
      </c>
      <c r="C5" s="348"/>
      <c r="D5" s="79"/>
      <c r="E5" s="79"/>
      <c r="F5" s="79" t="s">
        <v>122</v>
      </c>
      <c r="G5" s="79" t="s">
        <v>124</v>
      </c>
      <c r="H5" s="79" t="s">
        <v>123</v>
      </c>
      <c r="I5" s="348" t="s">
        <v>34</v>
      </c>
      <c r="J5" s="348"/>
      <c r="K5" s="79"/>
      <c r="L5" s="79"/>
      <c r="M5" s="79" t="s">
        <v>122</v>
      </c>
      <c r="N5" s="79" t="s">
        <v>124</v>
      </c>
      <c r="O5" s="79" t="s">
        <v>123</v>
      </c>
      <c r="P5" s="348" t="s">
        <v>32</v>
      </c>
      <c r="Q5" s="348"/>
      <c r="R5" s="79"/>
      <c r="S5" s="79"/>
      <c r="T5" s="79" t="s">
        <v>122</v>
      </c>
      <c r="U5" s="79" t="s">
        <v>124</v>
      </c>
      <c r="V5" s="79" t="s">
        <v>139</v>
      </c>
      <c r="W5" s="79" t="s">
        <v>123</v>
      </c>
    </row>
    <row r="6" spans="1:31" s="276" customFormat="1" ht="24" customHeight="1" x14ac:dyDescent="0.25">
      <c r="B6" s="349"/>
      <c r="C6" s="349"/>
      <c r="D6" s="275"/>
      <c r="E6" s="275"/>
      <c r="F6" s="275"/>
      <c r="G6" s="275"/>
      <c r="H6" s="275"/>
      <c r="I6" s="349"/>
      <c r="J6" s="349"/>
      <c r="K6" s="275"/>
      <c r="L6" s="275"/>
      <c r="M6" s="275"/>
      <c r="N6" s="275"/>
      <c r="O6" s="275"/>
      <c r="P6" s="349"/>
      <c r="Q6" s="349"/>
      <c r="R6" s="275"/>
      <c r="S6" s="275"/>
      <c r="T6" s="275"/>
      <c r="U6" s="275"/>
      <c r="V6" s="275"/>
      <c r="W6" s="275"/>
    </row>
    <row r="7" spans="1:31" s="266" customFormat="1" ht="24" customHeight="1" x14ac:dyDescent="0.25">
      <c r="A7" s="326"/>
      <c r="B7" s="338" t="s">
        <v>253</v>
      </c>
      <c r="C7" s="338"/>
      <c r="D7" s="259">
        <v>0.5</v>
      </c>
      <c r="E7" s="259">
        <v>0.83333333333333337</v>
      </c>
      <c r="F7" s="265">
        <f>HOUR(E7-D7)</f>
        <v>8</v>
      </c>
      <c r="G7" s="265">
        <f>MINUTE(E7-D7)</f>
        <v>0</v>
      </c>
      <c r="H7" s="260">
        <f t="shared" ref="H7:H29" si="0">+E7-D7</f>
        <v>0.33333333333333337</v>
      </c>
      <c r="I7" s="339" t="str">
        <f>+B7</f>
        <v>Hernan Barrause</v>
      </c>
      <c r="J7" s="339"/>
      <c r="K7" s="260">
        <v>0</v>
      </c>
      <c r="L7" s="260">
        <v>0</v>
      </c>
      <c r="M7" s="265">
        <f>HOUR(L7-K7)</f>
        <v>0</v>
      </c>
      <c r="N7" s="265">
        <f>MINUTE(L7-K7)</f>
        <v>0</v>
      </c>
      <c r="O7" s="260">
        <f t="shared" ref="O7:O29" si="1">+L7-K7</f>
        <v>0</v>
      </c>
      <c r="P7" s="339" t="str">
        <f>+B7</f>
        <v>Hernan Barrause</v>
      </c>
      <c r="Q7" s="339"/>
      <c r="R7" s="260">
        <v>0</v>
      </c>
      <c r="S7" s="260">
        <v>0</v>
      </c>
      <c r="T7" s="265">
        <f>HOUR(S7-R7)</f>
        <v>0</v>
      </c>
      <c r="U7" s="265">
        <f>MINUTE(S7-R7)</f>
        <v>0</v>
      </c>
      <c r="V7" s="265">
        <f>SECOND(S7-R7)</f>
        <v>0</v>
      </c>
      <c r="W7" s="260">
        <f t="shared" ref="W7:W29" si="2">+S7-R7</f>
        <v>0</v>
      </c>
      <c r="X7" s="340">
        <f>+(F7+M7+T7)*$G$2+(G7+N7+U7)*$G$2/60+V7*$G$2/60/60</f>
        <v>40000</v>
      </c>
      <c r="Y7" s="341"/>
      <c r="Z7" s="266">
        <f>+X7/$G$2</f>
        <v>8</v>
      </c>
    </row>
    <row r="8" spans="1:31" s="322" customFormat="1" ht="24" customHeight="1" x14ac:dyDescent="0.25">
      <c r="A8" s="326"/>
      <c r="B8" s="342" t="s">
        <v>110</v>
      </c>
      <c r="C8" s="342"/>
      <c r="D8" s="319">
        <v>0.32291666666666669</v>
      </c>
      <c r="E8" s="319">
        <v>0.96875</v>
      </c>
      <c r="F8" s="320">
        <f t="shared" ref="F8:F29" si="3">HOUR(E8-D8)</f>
        <v>15</v>
      </c>
      <c r="G8" s="320">
        <f t="shared" ref="G8:G29" si="4">MINUTE(E8-D8)</f>
        <v>30</v>
      </c>
      <c r="H8" s="321">
        <f t="shared" si="0"/>
        <v>0.64583333333333326</v>
      </c>
      <c r="I8" s="343" t="str">
        <f t="shared" ref="I8:I29" si="5">+B8</f>
        <v>Miguel Hermosilla</v>
      </c>
      <c r="J8" s="343"/>
      <c r="K8" s="321">
        <v>0</v>
      </c>
      <c r="L8" s="321">
        <v>0</v>
      </c>
      <c r="M8" s="320">
        <f t="shared" ref="M8:M29" si="6">HOUR(L8-K8)</f>
        <v>0</v>
      </c>
      <c r="N8" s="320">
        <f t="shared" ref="N8:N29" si="7">MINUTE(L8-K8)</f>
        <v>0</v>
      </c>
      <c r="O8" s="321">
        <f t="shared" si="1"/>
        <v>0</v>
      </c>
      <c r="P8" s="343" t="str">
        <f t="shared" ref="P8:P29" si="8">+B8</f>
        <v>Miguel Hermosilla</v>
      </c>
      <c r="Q8" s="343"/>
      <c r="R8" s="319">
        <v>0.4861111111111111</v>
      </c>
      <c r="S8" s="319">
        <v>0.88541666666666663</v>
      </c>
      <c r="T8" s="320">
        <f t="shared" ref="T8:T29" si="9">HOUR(S8-R8)</f>
        <v>9</v>
      </c>
      <c r="U8" s="320">
        <f t="shared" ref="U8:U29" si="10">MINUTE(S8-R8)</f>
        <v>35</v>
      </c>
      <c r="V8" s="320">
        <f t="shared" ref="V8:V29" si="11">SECOND(S8-R8)</f>
        <v>0</v>
      </c>
      <c r="W8" s="321">
        <f t="shared" si="2"/>
        <v>0.39930555555555552</v>
      </c>
      <c r="X8" s="344">
        <f>+(F8+M8+T8)*$G$2+(G8+N8+U8)*$G$2/60+V8*$G$2/60/60</f>
        <v>125416.66666666667</v>
      </c>
      <c r="Y8" s="345"/>
      <c r="Z8" s="322">
        <f>+X8/$G$2</f>
        <v>25.083333333333336</v>
      </c>
      <c r="AA8" s="323">
        <v>112000</v>
      </c>
    </row>
    <row r="9" spans="1:31" s="266" customFormat="1" ht="24" customHeight="1" x14ac:dyDescent="0.25">
      <c r="A9" s="326"/>
      <c r="B9" s="338" t="s">
        <v>127</v>
      </c>
      <c r="C9" s="338"/>
      <c r="D9" s="259">
        <v>0.50555555555555554</v>
      </c>
      <c r="E9" s="259">
        <v>0.88611111111111107</v>
      </c>
      <c r="F9" s="265">
        <f t="shared" si="3"/>
        <v>9</v>
      </c>
      <c r="G9" s="265">
        <f t="shared" si="4"/>
        <v>8</v>
      </c>
      <c r="H9" s="260">
        <f t="shared" si="0"/>
        <v>0.38055555555555554</v>
      </c>
      <c r="I9" s="339" t="str">
        <f t="shared" si="5"/>
        <v>Carmen Olguin</v>
      </c>
      <c r="J9" s="339"/>
      <c r="K9" s="260">
        <v>0</v>
      </c>
      <c r="L9" s="260">
        <v>0</v>
      </c>
      <c r="M9" s="265">
        <f t="shared" si="6"/>
        <v>0</v>
      </c>
      <c r="N9" s="265">
        <f t="shared" si="7"/>
        <v>0</v>
      </c>
      <c r="O9" s="260">
        <f t="shared" si="1"/>
        <v>0</v>
      </c>
      <c r="P9" s="339" t="str">
        <f t="shared" si="8"/>
        <v>Carmen Olguin</v>
      </c>
      <c r="Q9" s="339"/>
      <c r="R9" s="260">
        <v>0</v>
      </c>
      <c r="S9" s="260">
        <v>0</v>
      </c>
      <c r="T9" s="265">
        <f t="shared" si="9"/>
        <v>0</v>
      </c>
      <c r="U9" s="265">
        <f t="shared" si="10"/>
        <v>0</v>
      </c>
      <c r="V9" s="265">
        <f t="shared" si="11"/>
        <v>0</v>
      </c>
      <c r="W9" s="260">
        <f t="shared" si="2"/>
        <v>0</v>
      </c>
      <c r="X9" s="340">
        <f>+(F9+M9+T9)*$G$2+(G9+N9+U9)*$G$2/60+V9*$G$2/60/60</f>
        <v>45666.666666666664</v>
      </c>
      <c r="Y9" s="341"/>
      <c r="Z9" s="266">
        <f t="shared" ref="Z9:Z30" si="12">+X9/$G$2</f>
        <v>9.1333333333333329</v>
      </c>
    </row>
    <row r="10" spans="1:31" s="266" customFormat="1" ht="24" customHeight="1" x14ac:dyDescent="0.25">
      <c r="A10" s="326"/>
      <c r="B10" s="338" t="s">
        <v>40</v>
      </c>
      <c r="C10" s="338"/>
      <c r="D10" s="259">
        <v>0.70833333333333337</v>
      </c>
      <c r="E10" s="259">
        <v>0.95833333333333337</v>
      </c>
      <c r="F10" s="265">
        <f t="shared" si="3"/>
        <v>6</v>
      </c>
      <c r="G10" s="265">
        <f t="shared" si="4"/>
        <v>0</v>
      </c>
      <c r="H10" s="260">
        <f t="shared" si="0"/>
        <v>0.25</v>
      </c>
      <c r="I10" s="339" t="str">
        <f t="shared" si="5"/>
        <v>Rosa Atenas</v>
      </c>
      <c r="J10" s="339"/>
      <c r="K10" s="260">
        <v>0.58333333333333337</v>
      </c>
      <c r="L10" s="260">
        <v>0.79166666666666663</v>
      </c>
      <c r="M10" s="265">
        <f t="shared" si="6"/>
        <v>5</v>
      </c>
      <c r="N10" s="265">
        <f t="shared" si="7"/>
        <v>0</v>
      </c>
      <c r="O10" s="260">
        <f t="shared" si="1"/>
        <v>0.20833333333333326</v>
      </c>
      <c r="P10" s="339" t="str">
        <f t="shared" si="8"/>
        <v>Rosa Atenas</v>
      </c>
      <c r="Q10" s="339"/>
      <c r="R10" s="259">
        <v>0.45833333333333331</v>
      </c>
      <c r="S10" s="319">
        <v>0.88541666666666663</v>
      </c>
      <c r="T10" s="265">
        <f t="shared" si="9"/>
        <v>10</v>
      </c>
      <c r="U10" s="265">
        <f t="shared" si="10"/>
        <v>15</v>
      </c>
      <c r="V10" s="265">
        <f t="shared" si="11"/>
        <v>0</v>
      </c>
      <c r="W10" s="260">
        <f t="shared" si="2"/>
        <v>0.42708333333333331</v>
      </c>
      <c r="X10" s="340">
        <f t="shared" ref="X10:X29" si="13">+(F10+M10+T10)*$G$2+(G10+N10+U10)*$G$2/60+V10*$G$2/60/60</f>
        <v>106250</v>
      </c>
      <c r="Y10" s="341"/>
      <c r="Z10" s="266">
        <f>+X10/$G$2</f>
        <v>21.25</v>
      </c>
    </row>
    <row r="11" spans="1:31" s="266" customFormat="1" ht="24" customHeight="1" x14ac:dyDescent="0.25">
      <c r="A11" s="326"/>
      <c r="B11" s="338" t="s">
        <v>117</v>
      </c>
      <c r="C11" s="338"/>
      <c r="D11" s="260">
        <v>0</v>
      </c>
      <c r="E11" s="260">
        <v>0</v>
      </c>
      <c r="F11" s="265">
        <f t="shared" si="3"/>
        <v>0</v>
      </c>
      <c r="G11" s="265">
        <f t="shared" si="4"/>
        <v>0</v>
      </c>
      <c r="H11" s="260">
        <f t="shared" si="0"/>
        <v>0</v>
      </c>
      <c r="I11" s="339" t="str">
        <f t="shared" si="5"/>
        <v>Laura Uribe</v>
      </c>
      <c r="J11" s="339"/>
      <c r="K11" s="259">
        <v>0.875</v>
      </c>
      <c r="L11" s="259">
        <v>1.2083333333333333</v>
      </c>
      <c r="M11" s="265">
        <f t="shared" si="6"/>
        <v>8</v>
      </c>
      <c r="N11" s="265">
        <f t="shared" si="7"/>
        <v>0</v>
      </c>
      <c r="O11" s="260">
        <f t="shared" si="1"/>
        <v>0.33333333333333326</v>
      </c>
      <c r="P11" s="339" t="str">
        <f t="shared" si="8"/>
        <v>Laura Uribe</v>
      </c>
      <c r="Q11" s="339"/>
      <c r="R11" s="260">
        <v>0</v>
      </c>
      <c r="S11" s="260">
        <v>0</v>
      </c>
      <c r="T11" s="265">
        <f t="shared" si="9"/>
        <v>0</v>
      </c>
      <c r="U11" s="265">
        <f t="shared" si="10"/>
        <v>0</v>
      </c>
      <c r="V11" s="265">
        <f t="shared" si="11"/>
        <v>0</v>
      </c>
      <c r="W11" s="260">
        <f t="shared" si="2"/>
        <v>0</v>
      </c>
      <c r="X11" s="340">
        <f t="shared" si="13"/>
        <v>40000</v>
      </c>
      <c r="Y11" s="341"/>
      <c r="Z11" s="266">
        <f t="shared" si="12"/>
        <v>8</v>
      </c>
    </row>
    <row r="12" spans="1:31" s="266" customFormat="1" ht="24" customHeight="1" x14ac:dyDescent="0.25">
      <c r="A12" s="326"/>
      <c r="B12" s="338" t="s">
        <v>47</v>
      </c>
      <c r="C12" s="338"/>
      <c r="D12" s="260">
        <v>0</v>
      </c>
      <c r="E12" s="260">
        <v>0</v>
      </c>
      <c r="F12" s="265">
        <f t="shared" si="3"/>
        <v>0</v>
      </c>
      <c r="G12" s="265">
        <f t="shared" si="4"/>
        <v>0</v>
      </c>
      <c r="H12" s="260">
        <f t="shared" si="0"/>
        <v>0</v>
      </c>
      <c r="I12" s="339" t="str">
        <f t="shared" si="5"/>
        <v>Gabriel Echeverria</v>
      </c>
      <c r="J12" s="339"/>
      <c r="K12" s="259">
        <v>0.91666666666666663</v>
      </c>
      <c r="L12" s="259">
        <v>1.25</v>
      </c>
      <c r="M12" s="265">
        <f t="shared" si="6"/>
        <v>8</v>
      </c>
      <c r="N12" s="265">
        <f t="shared" si="7"/>
        <v>0</v>
      </c>
      <c r="O12" s="260">
        <f t="shared" si="1"/>
        <v>0.33333333333333337</v>
      </c>
      <c r="P12" s="339" t="str">
        <f t="shared" si="8"/>
        <v>Gabriel Echeverria</v>
      </c>
      <c r="Q12" s="339"/>
      <c r="R12" s="259">
        <v>0.51041666666666663</v>
      </c>
      <c r="S12" s="259">
        <v>0.77083333333333337</v>
      </c>
      <c r="T12" s="265">
        <f t="shared" si="9"/>
        <v>6</v>
      </c>
      <c r="U12" s="265">
        <f t="shared" si="10"/>
        <v>15</v>
      </c>
      <c r="V12" s="265">
        <f t="shared" si="11"/>
        <v>0</v>
      </c>
      <c r="W12" s="260">
        <f t="shared" si="2"/>
        <v>0.26041666666666674</v>
      </c>
      <c r="X12" s="340">
        <f t="shared" si="13"/>
        <v>71250</v>
      </c>
      <c r="Y12" s="341"/>
      <c r="Z12" s="266">
        <f t="shared" si="12"/>
        <v>14.25</v>
      </c>
    </row>
    <row r="13" spans="1:31" s="266" customFormat="1" ht="24" customHeight="1" x14ac:dyDescent="0.25">
      <c r="A13" s="326"/>
      <c r="B13" s="338" t="s">
        <v>115</v>
      </c>
      <c r="C13" s="338"/>
      <c r="D13" s="260">
        <v>0</v>
      </c>
      <c r="E13" s="260">
        <v>0</v>
      </c>
      <c r="F13" s="265">
        <f t="shared" si="3"/>
        <v>0</v>
      </c>
      <c r="G13" s="265">
        <f t="shared" si="4"/>
        <v>0</v>
      </c>
      <c r="H13" s="260">
        <f t="shared" si="0"/>
        <v>0</v>
      </c>
      <c r="I13" s="339" t="str">
        <f t="shared" si="5"/>
        <v>Jorge Vidal</v>
      </c>
      <c r="J13" s="339"/>
      <c r="K13" s="259">
        <v>0.875</v>
      </c>
      <c r="L13" s="259">
        <v>1.375</v>
      </c>
      <c r="M13" s="265">
        <f t="shared" si="6"/>
        <v>12</v>
      </c>
      <c r="N13" s="265">
        <f t="shared" si="7"/>
        <v>0</v>
      </c>
      <c r="O13" s="260">
        <f t="shared" si="1"/>
        <v>0.5</v>
      </c>
      <c r="P13" s="339" t="str">
        <f t="shared" si="8"/>
        <v>Jorge Vidal</v>
      </c>
      <c r="Q13" s="339"/>
      <c r="R13" s="259">
        <v>0.89583333333333337</v>
      </c>
      <c r="S13" s="259">
        <v>1.3541666666666667</v>
      </c>
      <c r="T13" s="265">
        <f t="shared" si="9"/>
        <v>11</v>
      </c>
      <c r="U13" s="265">
        <f t="shared" si="10"/>
        <v>0</v>
      </c>
      <c r="V13" s="265">
        <f t="shared" si="11"/>
        <v>0</v>
      </c>
      <c r="W13" s="260">
        <f t="shared" si="2"/>
        <v>0.45833333333333337</v>
      </c>
      <c r="X13" s="340">
        <f t="shared" si="13"/>
        <v>115000</v>
      </c>
      <c r="Y13" s="341"/>
      <c r="Z13" s="266">
        <f t="shared" si="12"/>
        <v>23</v>
      </c>
    </row>
    <row r="14" spans="1:31" s="266" customFormat="1" ht="24" customHeight="1" x14ac:dyDescent="0.25">
      <c r="A14" s="326"/>
      <c r="B14" s="338" t="s">
        <v>116</v>
      </c>
      <c r="C14" s="338"/>
      <c r="D14" s="260">
        <v>0.29166666666666669</v>
      </c>
      <c r="E14" s="260">
        <v>1</v>
      </c>
      <c r="F14" s="265">
        <f t="shared" si="3"/>
        <v>17</v>
      </c>
      <c r="G14" s="265">
        <f t="shared" si="4"/>
        <v>0</v>
      </c>
      <c r="H14" s="260">
        <f t="shared" si="0"/>
        <v>0.70833333333333326</v>
      </c>
      <c r="I14" s="339" t="str">
        <f t="shared" si="5"/>
        <v>Adrian</v>
      </c>
      <c r="J14" s="339"/>
      <c r="K14" s="259">
        <v>6.9444444444444447E-4</v>
      </c>
      <c r="L14" s="259">
        <v>0.25069444444444444</v>
      </c>
      <c r="M14" s="265">
        <f t="shared" si="6"/>
        <v>6</v>
      </c>
      <c r="N14" s="265">
        <f t="shared" si="7"/>
        <v>0</v>
      </c>
      <c r="O14" s="260">
        <f t="shared" si="1"/>
        <v>0.25</v>
      </c>
      <c r="P14" s="339" t="str">
        <f t="shared" si="8"/>
        <v>Adrian</v>
      </c>
      <c r="Q14" s="339"/>
      <c r="R14" s="259">
        <v>0.375</v>
      </c>
      <c r="S14" s="259">
        <v>0.77083333333333337</v>
      </c>
      <c r="T14" s="265">
        <f t="shared" si="9"/>
        <v>9</v>
      </c>
      <c r="U14" s="265">
        <f t="shared" si="10"/>
        <v>30</v>
      </c>
      <c r="V14" s="265">
        <f t="shared" si="11"/>
        <v>0</v>
      </c>
      <c r="W14" s="260">
        <f t="shared" si="2"/>
        <v>0.39583333333333337</v>
      </c>
      <c r="X14" s="340">
        <f t="shared" si="13"/>
        <v>162500</v>
      </c>
      <c r="Y14" s="341"/>
      <c r="Z14" s="266">
        <f t="shared" si="12"/>
        <v>32.5</v>
      </c>
      <c r="AA14" s="267">
        <f>+X14+X28+X8+X21</f>
        <v>771166.66666666663</v>
      </c>
      <c r="AB14" s="267" t="s">
        <v>46</v>
      </c>
    </row>
    <row r="15" spans="1:31" s="266" customFormat="1" ht="24" customHeight="1" x14ac:dyDescent="0.25">
      <c r="A15" s="326"/>
      <c r="B15" s="338" t="s">
        <v>255</v>
      </c>
      <c r="C15" s="338"/>
      <c r="D15" s="260">
        <v>0</v>
      </c>
      <c r="E15" s="260">
        <v>0</v>
      </c>
      <c r="F15" s="265">
        <f t="shared" si="3"/>
        <v>0</v>
      </c>
      <c r="G15" s="265">
        <f t="shared" si="4"/>
        <v>0</v>
      </c>
      <c r="H15" s="260">
        <f t="shared" si="0"/>
        <v>0</v>
      </c>
      <c r="I15" s="339" t="str">
        <f t="shared" si="5"/>
        <v>Rita</v>
      </c>
      <c r="J15" s="339"/>
      <c r="K15" s="259">
        <v>0.875</v>
      </c>
      <c r="L15" s="259">
        <v>1.25</v>
      </c>
      <c r="M15" s="265">
        <f t="shared" si="6"/>
        <v>9</v>
      </c>
      <c r="N15" s="265">
        <f t="shared" si="7"/>
        <v>0</v>
      </c>
      <c r="O15" s="260">
        <f t="shared" si="1"/>
        <v>0.375</v>
      </c>
      <c r="P15" s="339" t="str">
        <f t="shared" si="8"/>
        <v>Rita</v>
      </c>
      <c r="Q15" s="339"/>
      <c r="R15" s="260">
        <v>0</v>
      </c>
      <c r="S15" s="260">
        <v>0</v>
      </c>
      <c r="T15" s="265">
        <f t="shared" si="9"/>
        <v>0</v>
      </c>
      <c r="U15" s="265">
        <f t="shared" si="10"/>
        <v>0</v>
      </c>
      <c r="V15" s="265">
        <f t="shared" si="11"/>
        <v>0</v>
      </c>
      <c r="W15" s="260">
        <f t="shared" si="2"/>
        <v>0</v>
      </c>
      <c r="X15" s="340">
        <f t="shared" si="13"/>
        <v>45000</v>
      </c>
      <c r="Y15" s="341"/>
      <c r="Z15" s="266">
        <f t="shared" si="12"/>
        <v>9</v>
      </c>
      <c r="AA15" s="267" t="s">
        <v>46</v>
      </c>
      <c r="AE15" s="267">
        <v>125500</v>
      </c>
    </row>
    <row r="16" spans="1:31" s="266" customFormat="1" ht="24" customHeight="1" x14ac:dyDescent="0.25">
      <c r="A16" s="326"/>
      <c r="B16" s="338" t="s">
        <v>113</v>
      </c>
      <c r="C16" s="338"/>
      <c r="D16" s="260">
        <v>0</v>
      </c>
      <c r="E16" s="260">
        <v>0</v>
      </c>
      <c r="F16" s="265">
        <f t="shared" si="3"/>
        <v>0</v>
      </c>
      <c r="G16" s="265">
        <f t="shared" si="4"/>
        <v>0</v>
      </c>
      <c r="H16" s="260">
        <f t="shared" si="0"/>
        <v>0</v>
      </c>
      <c r="I16" s="339" t="str">
        <f t="shared" si="5"/>
        <v>Amanda Orellana</v>
      </c>
      <c r="J16" s="339"/>
      <c r="K16" s="259">
        <v>0.86111111111111116</v>
      </c>
      <c r="L16" s="259">
        <v>1.2506944444444443</v>
      </c>
      <c r="M16" s="265">
        <f t="shared" si="6"/>
        <v>9</v>
      </c>
      <c r="N16" s="265">
        <f t="shared" si="7"/>
        <v>21</v>
      </c>
      <c r="O16" s="260">
        <f t="shared" si="1"/>
        <v>0.38958333333333317</v>
      </c>
      <c r="P16" s="339" t="str">
        <f t="shared" si="8"/>
        <v>Amanda Orellana</v>
      </c>
      <c r="Q16" s="339"/>
      <c r="R16" s="259">
        <v>0.45833333333333331</v>
      </c>
      <c r="S16" s="259">
        <v>0.88541666666666663</v>
      </c>
      <c r="T16" s="265">
        <f t="shared" si="9"/>
        <v>10</v>
      </c>
      <c r="U16" s="265">
        <f t="shared" si="10"/>
        <v>15</v>
      </c>
      <c r="V16" s="265">
        <f t="shared" si="11"/>
        <v>0</v>
      </c>
      <c r="W16" s="260">
        <f t="shared" si="2"/>
        <v>0.42708333333333331</v>
      </c>
      <c r="X16" s="340">
        <f t="shared" si="13"/>
        <v>98000</v>
      </c>
      <c r="Y16" s="341"/>
      <c r="Z16" s="266">
        <f t="shared" si="12"/>
        <v>19.600000000000001</v>
      </c>
      <c r="AE16" s="267">
        <f>+AE15+X21</f>
        <v>249250</v>
      </c>
    </row>
    <row r="17" spans="1:28" s="266" customFormat="1" ht="24" customHeight="1" x14ac:dyDescent="0.25">
      <c r="A17" s="326"/>
      <c r="B17" s="338" t="s">
        <v>64</v>
      </c>
      <c r="C17" s="338"/>
      <c r="D17" s="259">
        <v>0.45833333333333331</v>
      </c>
      <c r="E17" s="259">
        <v>1</v>
      </c>
      <c r="F17" s="265">
        <f t="shared" si="3"/>
        <v>13</v>
      </c>
      <c r="G17" s="265">
        <f t="shared" si="4"/>
        <v>0</v>
      </c>
      <c r="H17" s="260">
        <f t="shared" si="0"/>
        <v>0.54166666666666674</v>
      </c>
      <c r="I17" s="339" t="str">
        <f t="shared" si="5"/>
        <v>Cecilia Jara</v>
      </c>
      <c r="J17" s="339"/>
      <c r="K17" s="259">
        <v>6.9444444444444447E-4</v>
      </c>
      <c r="L17" s="259">
        <v>0.25069444444444444</v>
      </c>
      <c r="M17" s="265">
        <f t="shared" si="6"/>
        <v>6</v>
      </c>
      <c r="N17" s="265">
        <f t="shared" si="7"/>
        <v>0</v>
      </c>
      <c r="O17" s="260">
        <f t="shared" si="1"/>
        <v>0.25</v>
      </c>
      <c r="P17" s="339" t="str">
        <f t="shared" si="8"/>
        <v>Cecilia Jara</v>
      </c>
      <c r="Q17" s="339"/>
      <c r="R17" s="260">
        <v>0</v>
      </c>
      <c r="S17" s="260">
        <v>0</v>
      </c>
      <c r="T17" s="265">
        <f t="shared" si="9"/>
        <v>0</v>
      </c>
      <c r="U17" s="265">
        <f t="shared" si="10"/>
        <v>0</v>
      </c>
      <c r="V17" s="265">
        <f t="shared" si="11"/>
        <v>0</v>
      </c>
      <c r="W17" s="260">
        <f t="shared" si="2"/>
        <v>0</v>
      </c>
      <c r="X17" s="340">
        <f t="shared" si="13"/>
        <v>95000</v>
      </c>
      <c r="Y17" s="341"/>
      <c r="Z17" s="266">
        <f t="shared" si="12"/>
        <v>19</v>
      </c>
    </row>
    <row r="18" spans="1:28" s="266" customFormat="1" ht="24" customHeight="1" x14ac:dyDescent="0.25">
      <c r="B18" s="338" t="s">
        <v>112</v>
      </c>
      <c r="C18" s="338"/>
      <c r="D18" s="259">
        <v>0.28125</v>
      </c>
      <c r="E18" s="259">
        <v>1</v>
      </c>
      <c r="F18" s="265">
        <f t="shared" si="3"/>
        <v>17</v>
      </c>
      <c r="G18" s="265">
        <f t="shared" si="4"/>
        <v>15</v>
      </c>
      <c r="H18" s="260">
        <f t="shared" si="0"/>
        <v>0.71875</v>
      </c>
      <c r="I18" s="339" t="str">
        <f t="shared" si="5"/>
        <v>Bernardita Olguin</v>
      </c>
      <c r="J18" s="339"/>
      <c r="K18" s="259">
        <v>6.9444444444444447E-4</v>
      </c>
      <c r="L18" s="259">
        <v>1.2506944444444443</v>
      </c>
      <c r="M18" s="265">
        <f t="shared" si="6"/>
        <v>6</v>
      </c>
      <c r="N18" s="265">
        <f t="shared" si="7"/>
        <v>0</v>
      </c>
      <c r="O18" s="260">
        <f t="shared" si="1"/>
        <v>1.2499999999999998</v>
      </c>
      <c r="P18" s="339" t="str">
        <f t="shared" si="8"/>
        <v>Bernardita Olguin</v>
      </c>
      <c r="Q18" s="339"/>
      <c r="R18" s="259">
        <v>0.4375</v>
      </c>
      <c r="S18" s="319">
        <v>0.88541666666666663</v>
      </c>
      <c r="T18" s="265">
        <f t="shared" si="9"/>
        <v>10</v>
      </c>
      <c r="U18" s="265">
        <f t="shared" si="10"/>
        <v>45</v>
      </c>
      <c r="V18" s="265">
        <f t="shared" si="11"/>
        <v>0</v>
      </c>
      <c r="W18" s="260">
        <f t="shared" si="2"/>
        <v>0.44791666666666663</v>
      </c>
      <c r="X18" s="340">
        <f t="shared" si="13"/>
        <v>170000</v>
      </c>
      <c r="Y18" s="341"/>
      <c r="Z18" s="266">
        <f t="shared" si="12"/>
        <v>34</v>
      </c>
      <c r="AB18" s="266" t="s">
        <v>46</v>
      </c>
    </row>
    <row r="19" spans="1:28" s="266" customFormat="1" ht="24" customHeight="1" x14ac:dyDescent="0.25">
      <c r="A19" s="326"/>
      <c r="B19" s="338" t="s">
        <v>57</v>
      </c>
      <c r="C19" s="338"/>
      <c r="D19" s="260">
        <v>0</v>
      </c>
      <c r="E19" s="260">
        <v>0</v>
      </c>
      <c r="F19" s="265">
        <f t="shared" si="3"/>
        <v>0</v>
      </c>
      <c r="G19" s="265">
        <f t="shared" si="4"/>
        <v>0</v>
      </c>
      <c r="H19" s="260">
        <f t="shared" si="0"/>
        <v>0</v>
      </c>
      <c r="I19" s="339" t="str">
        <f t="shared" si="5"/>
        <v>Luisa Contreras</v>
      </c>
      <c r="J19" s="339"/>
      <c r="K19" s="260">
        <v>0</v>
      </c>
      <c r="L19" s="260">
        <v>0</v>
      </c>
      <c r="M19" s="265">
        <f t="shared" si="6"/>
        <v>0</v>
      </c>
      <c r="N19" s="265">
        <f t="shared" si="7"/>
        <v>0</v>
      </c>
      <c r="O19" s="260">
        <f t="shared" si="1"/>
        <v>0</v>
      </c>
      <c r="P19" s="339" t="str">
        <f t="shared" si="8"/>
        <v>Luisa Contreras</v>
      </c>
      <c r="Q19" s="339"/>
      <c r="R19" s="259">
        <v>0.48472222222222222</v>
      </c>
      <c r="S19" s="259">
        <v>0.88541666666666663</v>
      </c>
      <c r="T19" s="265">
        <f t="shared" si="9"/>
        <v>9</v>
      </c>
      <c r="U19" s="265">
        <f t="shared" si="10"/>
        <v>37</v>
      </c>
      <c r="V19" s="265">
        <f t="shared" si="11"/>
        <v>0</v>
      </c>
      <c r="W19" s="260">
        <f t="shared" si="2"/>
        <v>0.40069444444444441</v>
      </c>
      <c r="X19" s="340">
        <f t="shared" si="13"/>
        <v>48083.333333333336</v>
      </c>
      <c r="Y19" s="341"/>
      <c r="Z19" s="266">
        <f t="shared" si="12"/>
        <v>9.6166666666666671</v>
      </c>
      <c r="AA19" s="268"/>
      <c r="AB19" s="266" t="s">
        <v>46</v>
      </c>
    </row>
    <row r="20" spans="1:28" s="266" customFormat="1" ht="24" customHeight="1" x14ac:dyDescent="0.25">
      <c r="A20" s="326"/>
      <c r="B20" s="338" t="s">
        <v>114</v>
      </c>
      <c r="C20" s="338"/>
      <c r="D20" s="259">
        <v>0.41666666666666669</v>
      </c>
      <c r="E20" s="259">
        <v>0.91666666666666663</v>
      </c>
      <c r="F20" s="265">
        <f t="shared" si="3"/>
        <v>12</v>
      </c>
      <c r="G20" s="265">
        <f t="shared" si="4"/>
        <v>0</v>
      </c>
      <c r="H20" s="260">
        <f t="shared" si="0"/>
        <v>0.49999999999999994</v>
      </c>
      <c r="I20" s="339" t="str">
        <f t="shared" si="5"/>
        <v>Gaston Figueroa</v>
      </c>
      <c r="J20" s="339"/>
      <c r="K20" s="260">
        <v>0</v>
      </c>
      <c r="L20" s="260">
        <v>0</v>
      </c>
      <c r="M20" s="265">
        <f t="shared" si="6"/>
        <v>0</v>
      </c>
      <c r="N20" s="265">
        <f t="shared" si="7"/>
        <v>0</v>
      </c>
      <c r="O20" s="260">
        <f t="shared" si="1"/>
        <v>0</v>
      </c>
      <c r="P20" s="339" t="str">
        <f t="shared" si="8"/>
        <v>Gaston Figueroa</v>
      </c>
      <c r="Q20" s="339"/>
      <c r="R20" s="260">
        <v>0</v>
      </c>
      <c r="S20" s="260">
        <v>1.0416666666666667E-4</v>
      </c>
      <c r="T20" s="265">
        <f t="shared" si="9"/>
        <v>0</v>
      </c>
      <c r="U20" s="265">
        <f t="shared" si="10"/>
        <v>0</v>
      </c>
      <c r="V20" s="265">
        <f t="shared" si="11"/>
        <v>9</v>
      </c>
      <c r="W20" s="260">
        <f t="shared" si="2"/>
        <v>1.0416666666666667E-4</v>
      </c>
      <c r="X20" s="340">
        <f t="shared" si="13"/>
        <v>60012.5</v>
      </c>
      <c r="Y20" s="341"/>
      <c r="Z20" s="266">
        <f t="shared" si="12"/>
        <v>12.0025</v>
      </c>
    </row>
    <row r="21" spans="1:28" s="322" customFormat="1" ht="24" customHeight="1" x14ac:dyDescent="0.25">
      <c r="A21" s="326"/>
      <c r="B21" s="342" t="s">
        <v>53</v>
      </c>
      <c r="C21" s="342"/>
      <c r="D21" s="319">
        <v>0.28125</v>
      </c>
      <c r="E21" s="319">
        <v>0.96875</v>
      </c>
      <c r="F21" s="320">
        <f t="shared" si="3"/>
        <v>16</v>
      </c>
      <c r="G21" s="320">
        <f t="shared" si="4"/>
        <v>30</v>
      </c>
      <c r="H21" s="321">
        <f t="shared" si="0"/>
        <v>0.6875</v>
      </c>
      <c r="I21" s="343" t="str">
        <f t="shared" si="5"/>
        <v>Patricio Rojas</v>
      </c>
      <c r="J21" s="343"/>
      <c r="K21" s="321">
        <v>0</v>
      </c>
      <c r="L21" s="321">
        <v>0</v>
      </c>
      <c r="M21" s="320">
        <f t="shared" si="6"/>
        <v>0</v>
      </c>
      <c r="N21" s="320">
        <f t="shared" si="7"/>
        <v>0</v>
      </c>
      <c r="O21" s="321">
        <f t="shared" si="1"/>
        <v>0</v>
      </c>
      <c r="P21" s="343" t="str">
        <f t="shared" si="8"/>
        <v>Patricio Rojas</v>
      </c>
      <c r="Q21" s="343"/>
      <c r="R21" s="319">
        <v>0.42708333333333331</v>
      </c>
      <c r="S21" s="319">
        <v>0.77083333333333337</v>
      </c>
      <c r="T21" s="320">
        <f t="shared" si="9"/>
        <v>8</v>
      </c>
      <c r="U21" s="320">
        <f t="shared" si="10"/>
        <v>15</v>
      </c>
      <c r="V21" s="320">
        <f t="shared" si="11"/>
        <v>0</v>
      </c>
      <c r="W21" s="321">
        <f t="shared" si="2"/>
        <v>0.34375000000000006</v>
      </c>
      <c r="X21" s="344">
        <f>+(F21+M21+T21)*$G$2+(G21+N21+U21)*$G$2/60+V21*$G$2/60/60</f>
        <v>123750</v>
      </c>
      <c r="Y21" s="345"/>
      <c r="Z21" s="322">
        <f t="shared" si="12"/>
        <v>24.75</v>
      </c>
      <c r="AA21" s="323">
        <v>124000</v>
      </c>
    </row>
    <row r="22" spans="1:28" s="266" customFormat="1" ht="24" customHeight="1" x14ac:dyDescent="0.25">
      <c r="A22" s="326"/>
      <c r="B22" s="338" t="s">
        <v>254</v>
      </c>
      <c r="C22" s="338"/>
      <c r="D22" s="259">
        <v>0.52083333333333337</v>
      </c>
      <c r="E22" s="259">
        <v>0.875</v>
      </c>
      <c r="F22" s="265">
        <f t="shared" si="3"/>
        <v>8</v>
      </c>
      <c r="G22" s="265">
        <f t="shared" si="4"/>
        <v>30</v>
      </c>
      <c r="H22" s="260">
        <f t="shared" si="0"/>
        <v>0.35416666666666663</v>
      </c>
      <c r="I22" s="339" t="str">
        <f t="shared" si="5"/>
        <v>Genaro Soto</v>
      </c>
      <c r="J22" s="339"/>
      <c r="K22" s="259">
        <v>0.9375</v>
      </c>
      <c r="L22" s="259">
        <v>1.1381944444444445</v>
      </c>
      <c r="M22" s="265">
        <f t="shared" si="6"/>
        <v>4</v>
      </c>
      <c r="N22" s="265">
        <f t="shared" si="7"/>
        <v>49</v>
      </c>
      <c r="O22" s="260">
        <f t="shared" si="1"/>
        <v>0.20069444444444451</v>
      </c>
      <c r="P22" s="339" t="str">
        <f t="shared" si="8"/>
        <v>Genaro Soto</v>
      </c>
      <c r="Q22" s="339"/>
      <c r="R22" s="260">
        <v>0</v>
      </c>
      <c r="S22" s="260">
        <v>0</v>
      </c>
      <c r="T22" s="265">
        <f t="shared" si="9"/>
        <v>0</v>
      </c>
      <c r="U22" s="265">
        <f t="shared" si="10"/>
        <v>0</v>
      </c>
      <c r="V22" s="265">
        <f t="shared" si="11"/>
        <v>0</v>
      </c>
      <c r="W22" s="260">
        <f t="shared" si="2"/>
        <v>0</v>
      </c>
      <c r="X22" s="340">
        <f t="shared" si="13"/>
        <v>66583.333333333328</v>
      </c>
      <c r="Y22" s="341"/>
      <c r="Z22" s="266">
        <f t="shared" si="12"/>
        <v>13.316666666666666</v>
      </c>
    </row>
    <row r="23" spans="1:28" s="266" customFormat="1" ht="24" customHeight="1" x14ac:dyDescent="0.25">
      <c r="A23" s="326"/>
      <c r="B23" s="338" t="s">
        <v>111</v>
      </c>
      <c r="C23" s="338"/>
      <c r="D23" s="259">
        <v>0.59166666666666667</v>
      </c>
      <c r="E23" s="259">
        <v>1</v>
      </c>
      <c r="F23" s="265">
        <f t="shared" si="3"/>
        <v>9</v>
      </c>
      <c r="G23" s="265">
        <f t="shared" si="4"/>
        <v>48</v>
      </c>
      <c r="H23" s="260">
        <f t="shared" si="0"/>
        <v>0.40833333333333333</v>
      </c>
      <c r="I23" s="339" t="str">
        <f t="shared" si="5"/>
        <v>Gerardo Morales</v>
      </c>
      <c r="J23" s="339"/>
      <c r="K23" s="260">
        <v>0</v>
      </c>
      <c r="L23" s="260">
        <v>1.25</v>
      </c>
      <c r="M23" s="265">
        <f t="shared" si="6"/>
        <v>6</v>
      </c>
      <c r="N23" s="265">
        <f t="shared" si="7"/>
        <v>0</v>
      </c>
      <c r="O23" s="260">
        <f t="shared" si="1"/>
        <v>1.25</v>
      </c>
      <c r="P23" s="339" t="str">
        <f t="shared" si="8"/>
        <v>Gerardo Morales</v>
      </c>
      <c r="Q23" s="339"/>
      <c r="R23" s="260">
        <v>0</v>
      </c>
      <c r="S23" s="260">
        <v>0</v>
      </c>
      <c r="T23" s="265">
        <f t="shared" si="9"/>
        <v>0</v>
      </c>
      <c r="U23" s="265">
        <f t="shared" si="10"/>
        <v>0</v>
      </c>
      <c r="V23" s="265">
        <f t="shared" si="11"/>
        <v>0</v>
      </c>
      <c r="W23" s="260">
        <f t="shared" si="2"/>
        <v>0</v>
      </c>
      <c r="X23" s="340">
        <f t="shared" si="13"/>
        <v>79000</v>
      </c>
      <c r="Y23" s="341"/>
      <c r="Z23" s="266">
        <f t="shared" si="12"/>
        <v>15.8</v>
      </c>
    </row>
    <row r="24" spans="1:28" s="266" customFormat="1" ht="24" customHeight="1" x14ac:dyDescent="0.25">
      <c r="A24" s="326"/>
      <c r="B24" s="338" t="s">
        <v>256</v>
      </c>
      <c r="C24" s="338"/>
      <c r="D24" s="260">
        <v>0</v>
      </c>
      <c r="E24" s="260">
        <v>0</v>
      </c>
      <c r="F24" s="265">
        <f t="shared" si="3"/>
        <v>0</v>
      </c>
      <c r="G24" s="265">
        <f t="shared" si="4"/>
        <v>0</v>
      </c>
      <c r="H24" s="260">
        <f t="shared" si="0"/>
        <v>0</v>
      </c>
      <c r="I24" s="339" t="str">
        <f t="shared" si="5"/>
        <v>Iris Maldonado</v>
      </c>
      <c r="J24" s="339"/>
      <c r="K24" s="260">
        <v>0</v>
      </c>
      <c r="L24" s="260">
        <v>0</v>
      </c>
      <c r="M24" s="265">
        <f t="shared" si="6"/>
        <v>0</v>
      </c>
      <c r="N24" s="265">
        <f t="shared" si="7"/>
        <v>0</v>
      </c>
      <c r="O24" s="260">
        <f t="shared" si="1"/>
        <v>0</v>
      </c>
      <c r="P24" s="339" t="str">
        <f t="shared" si="8"/>
        <v>Iris Maldonado</v>
      </c>
      <c r="Q24" s="339"/>
      <c r="R24" s="259">
        <v>0.52083333333333337</v>
      </c>
      <c r="S24" s="259">
        <v>0.71944444444444444</v>
      </c>
      <c r="T24" s="265">
        <f t="shared" si="9"/>
        <v>4</v>
      </c>
      <c r="U24" s="265">
        <f t="shared" si="10"/>
        <v>46</v>
      </c>
      <c r="V24" s="265">
        <f t="shared" si="11"/>
        <v>0</v>
      </c>
      <c r="W24" s="260">
        <f t="shared" si="2"/>
        <v>0.19861111111111107</v>
      </c>
      <c r="X24" s="340">
        <f t="shared" si="13"/>
        <v>23833.333333333332</v>
      </c>
      <c r="Y24" s="341"/>
      <c r="Z24" s="266">
        <f t="shared" si="12"/>
        <v>4.7666666666666666</v>
      </c>
    </row>
    <row r="25" spans="1:28" s="266" customFormat="1" ht="24" customHeight="1" x14ac:dyDescent="0.25">
      <c r="A25" s="326"/>
      <c r="B25" s="338" t="s">
        <v>125</v>
      </c>
      <c r="C25" s="338"/>
      <c r="D25" s="260">
        <v>0</v>
      </c>
      <c r="E25" s="260">
        <v>0</v>
      </c>
      <c r="F25" s="265">
        <f t="shared" si="3"/>
        <v>0</v>
      </c>
      <c r="G25" s="265">
        <f t="shared" si="4"/>
        <v>0</v>
      </c>
      <c r="H25" s="260">
        <f t="shared" si="0"/>
        <v>0</v>
      </c>
      <c r="I25" s="339" t="str">
        <f t="shared" si="5"/>
        <v>Maria inés</v>
      </c>
      <c r="J25" s="339"/>
      <c r="K25" s="259">
        <v>0.875</v>
      </c>
      <c r="L25" s="259">
        <v>1.2506944444444443</v>
      </c>
      <c r="M25" s="265">
        <f t="shared" si="6"/>
        <v>9</v>
      </c>
      <c r="N25" s="265">
        <f t="shared" si="7"/>
        <v>1</v>
      </c>
      <c r="O25" s="260">
        <f t="shared" si="1"/>
        <v>0.37569444444444433</v>
      </c>
      <c r="P25" s="339" t="str">
        <f t="shared" si="8"/>
        <v>Maria inés</v>
      </c>
      <c r="Q25" s="339"/>
      <c r="R25" s="260">
        <v>0</v>
      </c>
      <c r="S25" s="260">
        <v>0</v>
      </c>
      <c r="T25" s="265">
        <f t="shared" si="9"/>
        <v>0</v>
      </c>
      <c r="U25" s="265">
        <f t="shared" si="10"/>
        <v>0</v>
      </c>
      <c r="V25" s="265">
        <f t="shared" si="11"/>
        <v>0</v>
      </c>
      <c r="W25" s="260">
        <f t="shared" si="2"/>
        <v>0</v>
      </c>
      <c r="X25" s="340">
        <f t="shared" si="13"/>
        <v>45083.333333333336</v>
      </c>
      <c r="Y25" s="341"/>
      <c r="Z25" s="266">
        <f t="shared" si="12"/>
        <v>9.0166666666666675</v>
      </c>
    </row>
    <row r="26" spans="1:28" s="266" customFormat="1" ht="24" customHeight="1" x14ac:dyDescent="0.25">
      <c r="A26" s="326"/>
      <c r="B26" s="351" t="s">
        <v>257</v>
      </c>
      <c r="C26" s="351"/>
      <c r="D26" s="262">
        <v>0</v>
      </c>
      <c r="E26" s="262">
        <v>0</v>
      </c>
      <c r="F26" s="265">
        <f t="shared" si="3"/>
        <v>0</v>
      </c>
      <c r="G26" s="265">
        <f t="shared" si="4"/>
        <v>0</v>
      </c>
      <c r="H26" s="260">
        <f t="shared" si="0"/>
        <v>0</v>
      </c>
      <c r="I26" s="339" t="str">
        <f t="shared" si="5"/>
        <v>Michelle</v>
      </c>
      <c r="J26" s="339"/>
      <c r="K26" s="262">
        <v>0</v>
      </c>
      <c r="L26" s="262">
        <v>0</v>
      </c>
      <c r="M26" s="265">
        <f t="shared" si="6"/>
        <v>0</v>
      </c>
      <c r="N26" s="265">
        <f t="shared" si="7"/>
        <v>0</v>
      </c>
      <c r="O26" s="260">
        <f t="shared" si="1"/>
        <v>0</v>
      </c>
      <c r="P26" s="339" t="str">
        <f t="shared" si="8"/>
        <v>Michelle</v>
      </c>
      <c r="Q26" s="339"/>
      <c r="R26" s="261">
        <v>0.50763888888888886</v>
      </c>
      <c r="S26" s="261">
        <v>0.88541666666666663</v>
      </c>
      <c r="T26" s="265">
        <f t="shared" si="9"/>
        <v>9</v>
      </c>
      <c r="U26" s="265">
        <f t="shared" si="10"/>
        <v>4</v>
      </c>
      <c r="V26" s="265">
        <f t="shared" si="11"/>
        <v>0</v>
      </c>
      <c r="W26" s="260">
        <f t="shared" si="2"/>
        <v>0.37777777777777777</v>
      </c>
      <c r="X26" s="340">
        <f t="shared" si="13"/>
        <v>45333.333333333336</v>
      </c>
      <c r="Y26" s="341"/>
      <c r="Z26" s="266">
        <f t="shared" si="12"/>
        <v>9.0666666666666664</v>
      </c>
    </row>
    <row r="27" spans="1:28" s="266" customFormat="1" ht="24" customHeight="1" x14ac:dyDescent="0.25">
      <c r="A27" s="326"/>
      <c r="B27" s="350" t="s">
        <v>126</v>
      </c>
      <c r="C27" s="350"/>
      <c r="D27" s="264">
        <v>0</v>
      </c>
      <c r="E27" s="264">
        <v>0</v>
      </c>
      <c r="F27" s="265">
        <f t="shared" si="3"/>
        <v>0</v>
      </c>
      <c r="G27" s="265">
        <f t="shared" si="4"/>
        <v>0</v>
      </c>
      <c r="H27" s="260">
        <f t="shared" si="0"/>
        <v>0</v>
      </c>
      <c r="I27" s="339" t="str">
        <f t="shared" si="5"/>
        <v>David Serrano</v>
      </c>
      <c r="J27" s="339"/>
      <c r="K27" s="263">
        <v>0.875</v>
      </c>
      <c r="L27" s="263">
        <v>1.25</v>
      </c>
      <c r="M27" s="265">
        <f t="shared" si="6"/>
        <v>9</v>
      </c>
      <c r="N27" s="265">
        <f t="shared" si="7"/>
        <v>0</v>
      </c>
      <c r="O27" s="260">
        <f t="shared" si="1"/>
        <v>0.375</v>
      </c>
      <c r="P27" s="339" t="str">
        <f t="shared" si="8"/>
        <v>David Serrano</v>
      </c>
      <c r="Q27" s="339"/>
      <c r="R27" s="263">
        <v>0.5</v>
      </c>
      <c r="S27" s="319">
        <v>0.88541666666666663</v>
      </c>
      <c r="T27" s="265">
        <f t="shared" si="9"/>
        <v>9</v>
      </c>
      <c r="U27" s="265">
        <f t="shared" si="10"/>
        <v>15</v>
      </c>
      <c r="V27" s="265">
        <f t="shared" si="11"/>
        <v>0</v>
      </c>
      <c r="W27" s="260">
        <f t="shared" si="2"/>
        <v>0.38541666666666663</v>
      </c>
      <c r="X27" s="340">
        <f t="shared" si="13"/>
        <v>91250</v>
      </c>
      <c r="Y27" s="341"/>
      <c r="Z27" s="266">
        <f t="shared" si="12"/>
        <v>18.25</v>
      </c>
    </row>
    <row r="28" spans="1:28" s="266" customFormat="1" ht="24" customHeight="1" x14ac:dyDescent="0.25">
      <c r="B28" s="352" t="s">
        <v>258</v>
      </c>
      <c r="C28" s="352"/>
      <c r="D28" s="264">
        <v>6.9444444444444447E-4</v>
      </c>
      <c r="E28" s="264">
        <v>0.99930555555555556</v>
      </c>
      <c r="F28" s="265">
        <f t="shared" si="3"/>
        <v>23</v>
      </c>
      <c r="G28" s="265">
        <f t="shared" si="4"/>
        <v>58</v>
      </c>
      <c r="H28" s="260">
        <f t="shared" si="0"/>
        <v>0.99861111111111112</v>
      </c>
      <c r="I28" s="339" t="str">
        <f t="shared" si="5"/>
        <v>Otros</v>
      </c>
      <c r="J28" s="339"/>
      <c r="K28" s="264">
        <v>6.9444444444444447E-4</v>
      </c>
      <c r="L28" s="264">
        <v>0.99930555555555556</v>
      </c>
      <c r="M28" s="265">
        <f t="shared" si="6"/>
        <v>23</v>
      </c>
      <c r="N28" s="265">
        <f t="shared" si="7"/>
        <v>58</v>
      </c>
      <c r="O28" s="260">
        <f t="shared" si="1"/>
        <v>0.99861111111111112</v>
      </c>
      <c r="P28" s="339" t="str">
        <f t="shared" si="8"/>
        <v>Otros</v>
      </c>
      <c r="Q28" s="339"/>
      <c r="R28" s="264">
        <v>6.9444444444444447E-4</v>
      </c>
      <c r="S28" s="264">
        <v>0.99930555555555556</v>
      </c>
      <c r="T28" s="265">
        <f t="shared" si="9"/>
        <v>23</v>
      </c>
      <c r="U28" s="265">
        <f t="shared" si="10"/>
        <v>58</v>
      </c>
      <c r="V28" s="265">
        <f t="shared" si="11"/>
        <v>0</v>
      </c>
      <c r="W28" s="260">
        <f t="shared" si="2"/>
        <v>0.99861111111111112</v>
      </c>
      <c r="X28" s="340">
        <f t="shared" si="13"/>
        <v>359500</v>
      </c>
      <c r="Y28" s="341"/>
      <c r="Z28" s="266">
        <f t="shared" si="12"/>
        <v>71.900000000000006</v>
      </c>
    </row>
    <row r="29" spans="1:28" s="266" customFormat="1" ht="24" customHeight="1" x14ac:dyDescent="0.25">
      <c r="B29" s="352" t="s">
        <v>46</v>
      </c>
      <c r="C29" s="352"/>
      <c r="D29" s="264">
        <v>0</v>
      </c>
      <c r="E29" s="264">
        <v>0</v>
      </c>
      <c r="F29" s="265">
        <f t="shared" si="3"/>
        <v>0</v>
      </c>
      <c r="G29" s="265">
        <f t="shared" si="4"/>
        <v>0</v>
      </c>
      <c r="H29" s="260">
        <f t="shared" si="0"/>
        <v>0</v>
      </c>
      <c r="I29" s="339" t="str">
        <f t="shared" si="5"/>
        <v xml:space="preserve"> </v>
      </c>
      <c r="J29" s="339"/>
      <c r="K29" s="264">
        <v>0</v>
      </c>
      <c r="L29" s="264">
        <v>0</v>
      </c>
      <c r="M29" s="265">
        <f t="shared" si="6"/>
        <v>0</v>
      </c>
      <c r="N29" s="265">
        <f t="shared" si="7"/>
        <v>0</v>
      </c>
      <c r="O29" s="260">
        <f t="shared" si="1"/>
        <v>0</v>
      </c>
      <c r="P29" s="339" t="str">
        <f t="shared" si="8"/>
        <v xml:space="preserve"> </v>
      </c>
      <c r="Q29" s="339"/>
      <c r="R29" s="264">
        <v>0</v>
      </c>
      <c r="S29" s="264">
        <v>0</v>
      </c>
      <c r="T29" s="265">
        <f t="shared" si="9"/>
        <v>0</v>
      </c>
      <c r="U29" s="265">
        <f t="shared" si="10"/>
        <v>0</v>
      </c>
      <c r="V29" s="265">
        <f t="shared" si="11"/>
        <v>0</v>
      </c>
      <c r="W29" s="260">
        <f t="shared" si="2"/>
        <v>0</v>
      </c>
      <c r="X29" s="340">
        <f t="shared" si="13"/>
        <v>0</v>
      </c>
      <c r="Y29" s="341"/>
      <c r="Z29" s="266">
        <f t="shared" si="12"/>
        <v>0</v>
      </c>
    </row>
    <row r="30" spans="1:28" s="271" customFormat="1" ht="27" customHeight="1" x14ac:dyDescent="0.25">
      <c r="B30" s="353"/>
      <c r="C30" s="353"/>
      <c r="D30" s="269"/>
      <c r="E30" s="269"/>
      <c r="F30" s="270">
        <f>SUM(F7:F29)</f>
        <v>153</v>
      </c>
      <c r="G30" s="270">
        <f>SUM(G7:G29)</f>
        <v>219</v>
      </c>
      <c r="H30" s="269"/>
      <c r="I30" s="353"/>
      <c r="J30" s="353"/>
      <c r="K30" s="269"/>
      <c r="L30" s="269"/>
      <c r="M30" s="270">
        <f>SUM(M7:M29)</f>
        <v>120</v>
      </c>
      <c r="N30" s="270">
        <f>SUM(N7:N29)</f>
        <v>129</v>
      </c>
      <c r="O30" s="269"/>
      <c r="P30" s="353"/>
      <c r="Q30" s="353"/>
      <c r="R30" s="269"/>
      <c r="S30" s="269"/>
      <c r="T30" s="270">
        <f>SUM(T7:T29)</f>
        <v>127</v>
      </c>
      <c r="U30" s="270">
        <f>SUM(U7:U29)</f>
        <v>330</v>
      </c>
      <c r="V30" s="270">
        <f>SUM(V7:V29)</f>
        <v>9</v>
      </c>
      <c r="W30" s="269"/>
      <c r="X30" s="354">
        <f>SUM(X7:Y29)</f>
        <v>2056512.4999999998</v>
      </c>
      <c r="Y30" s="355"/>
      <c r="Z30" s="266">
        <f t="shared" si="12"/>
        <v>411.30249999999995</v>
      </c>
    </row>
    <row r="31" spans="1:28" s="271" customFormat="1" ht="24.95" customHeight="1" x14ac:dyDescent="0.25">
      <c r="B31" s="353"/>
      <c r="C31" s="353"/>
      <c r="D31" s="353" t="s">
        <v>128</v>
      </c>
      <c r="E31" s="353"/>
      <c r="F31" s="269">
        <f>+INT(G30/60)</f>
        <v>3</v>
      </c>
      <c r="G31" s="269"/>
      <c r="H31" s="269"/>
      <c r="I31" s="353"/>
      <c r="J31" s="353"/>
      <c r="K31" s="353" t="s">
        <v>129</v>
      </c>
      <c r="L31" s="353"/>
      <c r="M31" s="269">
        <f>+INT(N30/60)</f>
        <v>2</v>
      </c>
      <c r="N31" s="269"/>
      <c r="O31" s="269"/>
      <c r="P31" s="353"/>
      <c r="Q31" s="353"/>
      <c r="R31" s="353" t="s">
        <v>130</v>
      </c>
      <c r="S31" s="353"/>
      <c r="T31" s="269">
        <f>+INT(U30/60)</f>
        <v>5</v>
      </c>
      <c r="U31" s="269"/>
      <c r="V31" s="269"/>
      <c r="W31" s="269"/>
    </row>
    <row r="32" spans="1:28" s="271" customFormat="1" ht="24.95" customHeight="1" x14ac:dyDescent="0.25">
      <c r="B32" s="353"/>
      <c r="C32" s="353"/>
      <c r="D32" s="356" t="s">
        <v>120</v>
      </c>
      <c r="E32" s="356"/>
      <c r="F32" s="272">
        <f>+F31+F30</f>
        <v>156</v>
      </c>
      <c r="G32" s="273"/>
      <c r="H32" s="270"/>
      <c r="I32" s="353"/>
      <c r="J32" s="353"/>
      <c r="K32" s="356" t="s">
        <v>120</v>
      </c>
      <c r="L32" s="356"/>
      <c r="M32" s="272">
        <f>+M31+M30</f>
        <v>122</v>
      </c>
      <c r="N32" s="273"/>
      <c r="O32" s="270"/>
      <c r="P32" s="353"/>
      <c r="Q32" s="353"/>
      <c r="R32" s="356" t="s">
        <v>120</v>
      </c>
      <c r="S32" s="356"/>
      <c r="T32" s="272">
        <f>+T31+T30</f>
        <v>132</v>
      </c>
      <c r="U32" s="273"/>
      <c r="V32" s="273"/>
      <c r="W32" s="270"/>
    </row>
    <row r="33" spans="2:23" s="271" customFormat="1" ht="24.95" customHeight="1" x14ac:dyDescent="0.25">
      <c r="B33" s="353"/>
      <c r="C33" s="353"/>
      <c r="D33" s="356" t="s">
        <v>121</v>
      </c>
      <c r="E33" s="356"/>
      <c r="F33" s="273">
        <f>+G30-F31*60</f>
        <v>39</v>
      </c>
      <c r="G33" s="273"/>
      <c r="H33" s="270"/>
      <c r="I33" s="353"/>
      <c r="J33" s="353"/>
      <c r="K33" s="356" t="s">
        <v>121</v>
      </c>
      <c r="L33" s="356"/>
      <c r="M33" s="273">
        <f>+N30-M31*60</f>
        <v>9</v>
      </c>
      <c r="N33" s="273"/>
      <c r="O33" s="270"/>
      <c r="P33" s="353"/>
      <c r="Q33" s="353"/>
      <c r="R33" s="356" t="s">
        <v>121</v>
      </c>
      <c r="S33" s="356"/>
      <c r="T33" s="273">
        <f>+U30-T31*60</f>
        <v>30</v>
      </c>
      <c r="U33" s="273"/>
      <c r="V33" s="273"/>
      <c r="W33" s="270"/>
    </row>
    <row r="34" spans="2:23" s="271" customFormat="1" ht="24.95" customHeight="1" x14ac:dyDescent="0.25">
      <c r="B34" s="353"/>
      <c r="C34" s="353"/>
      <c r="D34" s="269"/>
      <c r="E34" s="269"/>
      <c r="F34" s="269"/>
      <c r="G34" s="269"/>
      <c r="H34" s="269"/>
      <c r="I34" s="353"/>
      <c r="J34" s="353"/>
      <c r="K34" s="269"/>
      <c r="L34" s="269"/>
      <c r="M34" s="269"/>
      <c r="N34" s="269"/>
      <c r="O34" s="269"/>
      <c r="P34" s="353"/>
      <c r="Q34" s="353"/>
      <c r="R34" s="356" t="s">
        <v>140</v>
      </c>
      <c r="S34" s="356"/>
      <c r="T34" s="272">
        <f>+V30</f>
        <v>9</v>
      </c>
      <c r="U34" s="269"/>
      <c r="V34" s="269"/>
      <c r="W34" s="269"/>
    </row>
    <row r="35" spans="2:23" s="271" customFormat="1" ht="24.95" customHeight="1" x14ac:dyDescent="0.25">
      <c r="B35" s="353"/>
      <c r="C35" s="353"/>
      <c r="D35" s="269"/>
      <c r="E35" s="269"/>
      <c r="F35" s="269"/>
      <c r="G35" s="269"/>
      <c r="H35" s="269"/>
      <c r="I35" s="353"/>
      <c r="J35" s="353"/>
      <c r="K35" s="269"/>
      <c r="L35" s="269"/>
      <c r="M35" s="269"/>
      <c r="N35" s="269"/>
      <c r="O35" s="269"/>
      <c r="P35" s="353"/>
      <c r="Q35" s="353"/>
      <c r="R35" s="269"/>
      <c r="S35" s="269"/>
      <c r="T35" s="269"/>
      <c r="U35" s="269"/>
      <c r="V35" s="269"/>
      <c r="W35" s="269"/>
    </row>
    <row r="36" spans="2:23" s="271" customFormat="1" ht="24.95" customHeight="1" x14ac:dyDescent="0.25">
      <c r="B36" s="353"/>
      <c r="C36" s="353"/>
      <c r="D36" s="357" t="s">
        <v>109</v>
      </c>
      <c r="E36" s="357"/>
      <c r="F36" s="357"/>
      <c r="G36" s="357"/>
      <c r="H36" s="274">
        <f>+H37*G2+H38*G2/60+T34*G2/60/60</f>
        <v>2056512.5</v>
      </c>
      <c r="I36" s="353"/>
      <c r="J36" s="353"/>
      <c r="K36" s="269"/>
      <c r="L36" s="269"/>
      <c r="M36" s="269"/>
      <c r="N36" s="269"/>
      <c r="O36" s="269"/>
      <c r="P36" s="353"/>
      <c r="Q36" s="353"/>
      <c r="R36" s="269"/>
      <c r="S36" s="269"/>
      <c r="T36" s="269"/>
      <c r="U36" s="269"/>
      <c r="V36" s="269"/>
      <c r="W36" s="269"/>
    </row>
    <row r="37" spans="2:23" s="271" customFormat="1" ht="24.95" customHeight="1" x14ac:dyDescent="0.25">
      <c r="B37" s="353"/>
      <c r="C37" s="353"/>
      <c r="D37" s="356" t="s">
        <v>122</v>
      </c>
      <c r="E37" s="356"/>
      <c r="F37" s="272">
        <f>+F32+M32+T32</f>
        <v>410</v>
      </c>
      <c r="G37" s="269">
        <f>+INT(F38/60)</f>
        <v>1</v>
      </c>
      <c r="H37" s="270">
        <f>+G37+F37</f>
        <v>411</v>
      </c>
      <c r="I37" s="353"/>
      <c r="J37" s="353"/>
      <c r="K37" s="269"/>
      <c r="L37" s="269"/>
      <c r="M37" s="269"/>
      <c r="N37" s="269"/>
      <c r="O37" s="269"/>
      <c r="P37" s="353"/>
      <c r="Q37" s="353"/>
      <c r="R37" s="269"/>
      <c r="S37" s="269"/>
      <c r="T37" s="269"/>
      <c r="U37" s="269"/>
      <c r="V37" s="269"/>
      <c r="W37" s="269"/>
    </row>
    <row r="38" spans="2:23" s="271" customFormat="1" ht="24.95" customHeight="1" x14ac:dyDescent="0.25">
      <c r="B38" s="353"/>
      <c r="C38" s="353"/>
      <c r="D38" s="356" t="s">
        <v>123</v>
      </c>
      <c r="E38" s="356"/>
      <c r="F38" s="273">
        <f>+T33+M33+F33</f>
        <v>78</v>
      </c>
      <c r="G38" s="269"/>
      <c r="H38" s="269">
        <f>+F38-G37*60</f>
        <v>18</v>
      </c>
      <c r="I38" s="353"/>
      <c r="J38" s="353"/>
      <c r="K38" s="269"/>
      <c r="L38" s="269"/>
      <c r="M38" s="269"/>
      <c r="N38" s="269"/>
      <c r="O38" s="269"/>
      <c r="P38" s="353"/>
      <c r="Q38" s="353"/>
      <c r="R38" s="269"/>
      <c r="S38" s="269"/>
      <c r="T38" s="269"/>
      <c r="U38" s="269"/>
      <c r="V38" s="269"/>
      <c r="W38" s="269"/>
    </row>
    <row r="39" spans="2:23" s="271" customFormat="1" ht="24.95" customHeight="1" x14ac:dyDescent="0.25">
      <c r="B39" s="353"/>
      <c r="C39" s="353"/>
      <c r="D39" s="269"/>
      <c r="E39" s="269"/>
      <c r="F39" s="269"/>
      <c r="G39" s="269"/>
      <c r="H39" s="269"/>
      <c r="I39" s="353"/>
      <c r="J39" s="353"/>
      <c r="K39" s="269"/>
      <c r="L39" s="269"/>
      <c r="M39" s="269"/>
      <c r="N39" s="269"/>
      <c r="O39" s="269"/>
      <c r="P39" s="353"/>
      <c r="Q39" s="353"/>
      <c r="R39" s="269"/>
      <c r="S39" s="269"/>
      <c r="T39" s="269"/>
      <c r="U39" s="269"/>
      <c r="V39" s="269"/>
      <c r="W39" s="269"/>
    </row>
    <row r="40" spans="2:23" s="271" customFormat="1" ht="24.95" customHeight="1" x14ac:dyDescent="0.25">
      <c r="B40" s="353"/>
      <c r="C40" s="353"/>
      <c r="D40" s="269"/>
      <c r="E40" s="269"/>
      <c r="F40" s="269"/>
      <c r="G40" s="269"/>
      <c r="H40" s="269"/>
      <c r="I40" s="353"/>
      <c r="J40" s="353"/>
      <c r="K40" s="269"/>
      <c r="L40" s="269"/>
      <c r="M40" s="269"/>
      <c r="N40" s="269"/>
      <c r="O40" s="269"/>
      <c r="P40" s="353"/>
      <c r="Q40" s="353"/>
      <c r="R40" s="269"/>
      <c r="S40" s="269"/>
      <c r="T40" s="269"/>
      <c r="U40" s="269"/>
      <c r="V40" s="269"/>
      <c r="W40" s="269"/>
    </row>
    <row r="41" spans="2:23" s="271" customFormat="1" ht="24.95" customHeight="1" x14ac:dyDescent="0.25">
      <c r="B41" s="353"/>
      <c r="C41" s="353"/>
      <c r="D41" s="269"/>
      <c r="E41" s="269"/>
      <c r="F41" s="269"/>
      <c r="G41" s="269"/>
      <c r="H41" s="269"/>
      <c r="I41" s="353"/>
      <c r="J41" s="353"/>
      <c r="K41" s="269"/>
      <c r="L41" s="269"/>
      <c r="M41" s="269"/>
      <c r="N41" s="269"/>
      <c r="O41" s="269"/>
      <c r="P41" s="353"/>
      <c r="Q41" s="353"/>
      <c r="R41" s="269"/>
      <c r="S41" s="269"/>
      <c r="T41" s="269"/>
      <c r="U41" s="269"/>
      <c r="V41" s="269"/>
      <c r="W41" s="269"/>
    </row>
    <row r="42" spans="2:23" ht="24.95" customHeight="1" x14ac:dyDescent="0.25"/>
  </sheetData>
  <mergeCells count="156">
    <mergeCell ref="B40:C40"/>
    <mergeCell ref="I40:J40"/>
    <mergeCell ref="P40:Q40"/>
    <mergeCell ref="B41:C41"/>
    <mergeCell ref="I41:J41"/>
    <mergeCell ref="P41:Q41"/>
    <mergeCell ref="B38:C38"/>
    <mergeCell ref="D38:E38"/>
    <mergeCell ref="I38:J38"/>
    <mergeCell ref="P38:Q38"/>
    <mergeCell ref="B39:C39"/>
    <mergeCell ref="I39:J39"/>
    <mergeCell ref="P39:Q39"/>
    <mergeCell ref="B36:C36"/>
    <mergeCell ref="D36:G36"/>
    <mergeCell ref="I36:J36"/>
    <mergeCell ref="P36:Q36"/>
    <mergeCell ref="B37:C37"/>
    <mergeCell ref="D37:E37"/>
    <mergeCell ref="I37:J37"/>
    <mergeCell ref="P37:Q37"/>
    <mergeCell ref="B34:C34"/>
    <mergeCell ref="I34:J34"/>
    <mergeCell ref="P34:Q34"/>
    <mergeCell ref="R34:S34"/>
    <mergeCell ref="B35:C35"/>
    <mergeCell ref="I35:J35"/>
    <mergeCell ref="P35:Q35"/>
    <mergeCell ref="B33:C33"/>
    <mergeCell ref="D33:E33"/>
    <mergeCell ref="I33:J33"/>
    <mergeCell ref="K33:L33"/>
    <mergeCell ref="P33:Q33"/>
    <mergeCell ref="R33:S33"/>
    <mergeCell ref="B32:C32"/>
    <mergeCell ref="D32:E32"/>
    <mergeCell ref="I32:J32"/>
    <mergeCell ref="K32:L32"/>
    <mergeCell ref="P32:Q32"/>
    <mergeCell ref="R32:S32"/>
    <mergeCell ref="B31:C31"/>
    <mergeCell ref="D31:E31"/>
    <mergeCell ref="I31:J31"/>
    <mergeCell ref="K31:L31"/>
    <mergeCell ref="P31:Q31"/>
    <mergeCell ref="R31:S31"/>
    <mergeCell ref="B29:C29"/>
    <mergeCell ref="I29:J29"/>
    <mergeCell ref="P29:Q29"/>
    <mergeCell ref="X29:Y29"/>
    <mergeCell ref="B30:C30"/>
    <mergeCell ref="I30:J30"/>
    <mergeCell ref="P30:Q30"/>
    <mergeCell ref="X30:Y30"/>
    <mergeCell ref="B28:C28"/>
    <mergeCell ref="I28:J28"/>
    <mergeCell ref="P28:Q28"/>
    <mergeCell ref="X28:Y28"/>
    <mergeCell ref="B27:C27"/>
    <mergeCell ref="I27:J27"/>
    <mergeCell ref="P27:Q27"/>
    <mergeCell ref="X27:Y27"/>
    <mergeCell ref="B25:C25"/>
    <mergeCell ref="I25:J25"/>
    <mergeCell ref="P25:Q25"/>
    <mergeCell ref="X25:Y25"/>
    <mergeCell ref="B26:C26"/>
    <mergeCell ref="I26:J26"/>
    <mergeCell ref="P26:Q26"/>
    <mergeCell ref="X26:Y26"/>
    <mergeCell ref="B23:C23"/>
    <mergeCell ref="I23:J23"/>
    <mergeCell ref="P23:Q23"/>
    <mergeCell ref="X23:Y23"/>
    <mergeCell ref="B24:C24"/>
    <mergeCell ref="I24:J24"/>
    <mergeCell ref="P24:Q24"/>
    <mergeCell ref="X24:Y24"/>
    <mergeCell ref="B21:C21"/>
    <mergeCell ref="I21:J21"/>
    <mergeCell ref="P21:Q21"/>
    <mergeCell ref="X21:Y21"/>
    <mergeCell ref="B22:C22"/>
    <mergeCell ref="I22:J22"/>
    <mergeCell ref="P22:Q22"/>
    <mergeCell ref="X22:Y22"/>
    <mergeCell ref="B19:C19"/>
    <mergeCell ref="I19:J19"/>
    <mergeCell ref="P19:Q19"/>
    <mergeCell ref="X19:Y19"/>
    <mergeCell ref="B20:C20"/>
    <mergeCell ref="I20:J20"/>
    <mergeCell ref="P20:Q20"/>
    <mergeCell ref="X20:Y20"/>
    <mergeCell ref="B17:C17"/>
    <mergeCell ref="I17:J17"/>
    <mergeCell ref="P17:Q17"/>
    <mergeCell ref="X17:Y17"/>
    <mergeCell ref="B18:C18"/>
    <mergeCell ref="I18:J18"/>
    <mergeCell ref="P18:Q18"/>
    <mergeCell ref="X18:Y18"/>
    <mergeCell ref="B15:C15"/>
    <mergeCell ref="I15:J15"/>
    <mergeCell ref="P15:Q15"/>
    <mergeCell ref="X15:Y15"/>
    <mergeCell ref="B16:C16"/>
    <mergeCell ref="I16:J16"/>
    <mergeCell ref="P16:Q16"/>
    <mergeCell ref="X16:Y16"/>
    <mergeCell ref="B13:C13"/>
    <mergeCell ref="I13:J13"/>
    <mergeCell ref="P13:Q13"/>
    <mergeCell ref="X13:Y13"/>
    <mergeCell ref="B14:C14"/>
    <mergeCell ref="I14:J14"/>
    <mergeCell ref="P14:Q14"/>
    <mergeCell ref="X14:Y14"/>
    <mergeCell ref="B11:C11"/>
    <mergeCell ref="I11:J11"/>
    <mergeCell ref="P11:Q11"/>
    <mergeCell ref="X11:Y11"/>
    <mergeCell ref="B12:C12"/>
    <mergeCell ref="I12:J12"/>
    <mergeCell ref="P12:Q12"/>
    <mergeCell ref="X12:Y12"/>
    <mergeCell ref="B9:C9"/>
    <mergeCell ref="I9:J9"/>
    <mergeCell ref="P9:Q9"/>
    <mergeCell ref="X9:Y9"/>
    <mergeCell ref="B10:C10"/>
    <mergeCell ref="I10:J10"/>
    <mergeCell ref="P10:Q10"/>
    <mergeCell ref="X10:Y10"/>
    <mergeCell ref="X7:Y7"/>
    <mergeCell ref="B8:C8"/>
    <mergeCell ref="I8:J8"/>
    <mergeCell ref="P8:Q8"/>
    <mergeCell ref="X8:Y8"/>
    <mergeCell ref="T4:W4"/>
    <mergeCell ref="X4:Y4"/>
    <mergeCell ref="B5:C5"/>
    <mergeCell ref="I5:J5"/>
    <mergeCell ref="P5:Q5"/>
    <mergeCell ref="B6:C6"/>
    <mergeCell ref="I6:J6"/>
    <mergeCell ref="P6:Q6"/>
    <mergeCell ref="D2:F2"/>
    <mergeCell ref="B4:C4"/>
    <mergeCell ref="F4:H4"/>
    <mergeCell ref="I4:J4"/>
    <mergeCell ref="M4:O4"/>
    <mergeCell ref="P4:Q4"/>
    <mergeCell ref="B7:C7"/>
    <mergeCell ref="I7:J7"/>
    <mergeCell ref="P7:Q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3"/>
  <sheetViews>
    <sheetView tabSelected="1" topLeftCell="A3" zoomScaleNormal="100" workbookViewId="0">
      <pane ySplit="1470" topLeftCell="A49" activePane="bottomLeft"/>
      <selection activeCell="U3" sqref="U1:U1048576"/>
      <selection pane="bottomLeft" activeCell="F61" sqref="F61"/>
    </sheetView>
  </sheetViews>
  <sheetFormatPr baseColWidth="10" defaultColWidth="11.5703125" defaultRowHeight="15" x14ac:dyDescent="0.25"/>
  <cols>
    <col min="1" max="1" width="4.85546875" style="3" customWidth="1"/>
    <col min="2" max="2" width="22.140625" style="2" customWidth="1"/>
    <col min="3" max="3" width="7.7109375" customWidth="1"/>
    <col min="4" max="4" width="6.5703125" customWidth="1"/>
    <col min="5" max="5" width="7.28515625" customWidth="1"/>
    <col min="6" max="6" width="11" customWidth="1"/>
    <col min="7" max="8" width="6.5703125" customWidth="1"/>
    <col min="9" max="9" width="7.28515625" customWidth="1"/>
    <col min="10" max="10" width="11" customWidth="1"/>
    <col min="11" max="12" width="11" style="251" customWidth="1"/>
    <col min="13" max="13" width="8" style="173" customWidth="1"/>
    <col min="14" max="14" width="10.28515625" style="173" customWidth="1"/>
    <col min="15" max="15" width="9.5703125" style="173" customWidth="1"/>
    <col min="17" max="17" width="15.140625" bestFit="1" customWidth="1"/>
    <col min="20" max="20" width="11.5703125" style="71"/>
    <col min="21" max="21" width="15.140625" style="71" bestFit="1" customWidth="1"/>
    <col min="22" max="22" width="11.5703125" style="71"/>
  </cols>
  <sheetData>
    <row r="2" spans="1:22" ht="15.75" thickBot="1" x14ac:dyDescent="0.3">
      <c r="B2" s="4" t="s">
        <v>46</v>
      </c>
      <c r="F2" s="71">
        <f>SUM(F5:F49)</f>
        <v>11005680</v>
      </c>
      <c r="J2" s="71">
        <f>SUM(J5:J49)</f>
        <v>1993320</v>
      </c>
      <c r="K2" s="248"/>
      <c r="L2" s="248"/>
      <c r="M2" s="281" t="s">
        <v>46</v>
      </c>
      <c r="N2" s="281" t="s">
        <v>46</v>
      </c>
      <c r="O2" s="281">
        <f>SUM(O5:O49)</f>
        <v>5323560</v>
      </c>
      <c r="P2" s="71">
        <f>SUM(P5:P49)</f>
        <v>7725900</v>
      </c>
      <c r="Q2" s="71">
        <f>+J2+F2</f>
        <v>12999000</v>
      </c>
      <c r="R2" s="71">
        <f>+P2+O2</f>
        <v>13049460</v>
      </c>
    </row>
    <row r="3" spans="1:22" s="206" customFormat="1" ht="15.75" thickTop="1" x14ac:dyDescent="0.25">
      <c r="A3" s="15"/>
      <c r="B3" s="60"/>
      <c r="C3" s="371" t="s">
        <v>237</v>
      </c>
      <c r="D3" s="372"/>
      <c r="E3" s="372"/>
      <c r="F3" s="372"/>
      <c r="G3" s="376" t="s">
        <v>238</v>
      </c>
      <c r="H3" s="377"/>
      <c r="I3" s="377"/>
      <c r="J3" s="378"/>
      <c r="K3" s="379" t="s">
        <v>240</v>
      </c>
      <c r="L3" s="380"/>
      <c r="M3" s="373" t="s">
        <v>88</v>
      </c>
      <c r="N3" s="373"/>
      <c r="O3" s="374"/>
      <c r="P3" s="69" t="s">
        <v>95</v>
      </c>
      <c r="T3" s="101"/>
      <c r="U3" s="101"/>
      <c r="V3" s="101"/>
    </row>
    <row r="4" spans="1:22" s="63" customFormat="1" ht="13.5" thickBot="1" x14ac:dyDescent="0.25">
      <c r="B4" s="63" t="s">
        <v>26</v>
      </c>
      <c r="C4" s="66" t="s">
        <v>27</v>
      </c>
      <c r="D4" s="67" t="s">
        <v>87</v>
      </c>
      <c r="E4" s="67" t="s">
        <v>28</v>
      </c>
      <c r="F4" s="67" t="s">
        <v>93</v>
      </c>
      <c r="G4" s="237" t="s">
        <v>27</v>
      </c>
      <c r="H4" s="67" t="s">
        <v>87</v>
      </c>
      <c r="I4" s="67" t="s">
        <v>28</v>
      </c>
      <c r="J4" s="238" t="s">
        <v>93</v>
      </c>
      <c r="K4" s="249" t="s">
        <v>89</v>
      </c>
      <c r="L4" s="250" t="s">
        <v>241</v>
      </c>
      <c r="M4" s="282" t="s">
        <v>89</v>
      </c>
      <c r="N4" s="282" t="s">
        <v>90</v>
      </c>
      <c r="O4" s="283" t="s">
        <v>91</v>
      </c>
      <c r="P4" s="70" t="s">
        <v>92</v>
      </c>
      <c r="Q4" s="65">
        <f>SUM(Q2:Q3)</f>
        <v>12999000</v>
      </c>
      <c r="T4" s="65"/>
      <c r="U4" s="65"/>
      <c r="V4" s="65"/>
    </row>
    <row r="5" spans="1:22" s="229" customFormat="1" ht="23.1" customHeight="1" x14ac:dyDescent="0.3">
      <c r="A5" s="278" t="s">
        <v>46</v>
      </c>
      <c r="B5" s="225" t="s">
        <v>5</v>
      </c>
      <c r="C5" s="226">
        <v>450</v>
      </c>
      <c r="D5" s="226">
        <v>24</v>
      </c>
      <c r="E5" s="226">
        <f>8+10+2</f>
        <v>20</v>
      </c>
      <c r="F5" s="227">
        <f>+E5*D5*C5</f>
        <v>216000</v>
      </c>
      <c r="G5" s="306">
        <v>450</v>
      </c>
      <c r="H5" s="307">
        <v>24</v>
      </c>
      <c r="I5" s="307">
        <v>0</v>
      </c>
      <c r="J5" s="308">
        <f>+I5*H5*G5</f>
        <v>0</v>
      </c>
      <c r="K5" s="253">
        <f>+I5+E5</f>
        <v>20</v>
      </c>
      <c r="L5" s="254">
        <f>+K5*D5</f>
        <v>480</v>
      </c>
      <c r="M5" s="284">
        <v>0</v>
      </c>
      <c r="N5" s="285">
        <v>0</v>
      </c>
      <c r="O5" s="285">
        <f t="shared" ref="O5:O10" si="0">+(M5*D5*C5)+(C5*N5)</f>
        <v>0</v>
      </c>
      <c r="P5" s="228">
        <f>+F5+J5-O5</f>
        <v>216000</v>
      </c>
      <c r="T5" s="234"/>
      <c r="U5" s="234"/>
      <c r="V5" s="234"/>
    </row>
    <row r="6" spans="1:22" s="229" customFormat="1" ht="23.1" customHeight="1" x14ac:dyDescent="0.3">
      <c r="A6" s="278" t="s">
        <v>46</v>
      </c>
      <c r="B6" s="230" t="s">
        <v>0</v>
      </c>
      <c r="C6" s="231">
        <v>450</v>
      </c>
      <c r="D6" s="231">
        <v>24</v>
      </c>
      <c r="E6" s="231">
        <f>20+20+58</f>
        <v>98</v>
      </c>
      <c r="F6" s="232">
        <f>+E6*D6*C6</f>
        <v>1058400</v>
      </c>
      <c r="G6" s="239">
        <v>450</v>
      </c>
      <c r="H6" s="231">
        <v>24</v>
      </c>
      <c r="I6" s="231">
        <v>50</v>
      </c>
      <c r="J6" s="240">
        <f>+I6*H6*G6</f>
        <v>540000</v>
      </c>
      <c r="K6" s="255">
        <f>+I6+E6</f>
        <v>148</v>
      </c>
      <c r="L6" s="256">
        <f>+K6*D6</f>
        <v>3552</v>
      </c>
      <c r="M6" s="310">
        <v>78</v>
      </c>
      <c r="N6" s="232">
        <v>6</v>
      </c>
      <c r="O6" s="232">
        <f t="shared" si="0"/>
        <v>845100</v>
      </c>
      <c r="P6" s="233">
        <f>+F6+J6-O6</f>
        <v>753300</v>
      </c>
      <c r="Q6" s="234">
        <f>+P6+O6</f>
        <v>1598400</v>
      </c>
      <c r="R6" s="234">
        <f>+J6+F6</f>
        <v>1598400</v>
      </c>
      <c r="T6" s="234"/>
      <c r="U6" s="234"/>
      <c r="V6" s="234"/>
    </row>
    <row r="7" spans="1:22" s="229" customFormat="1" ht="23.1" customHeight="1" x14ac:dyDescent="0.3">
      <c r="A7" s="278" t="s">
        <v>46</v>
      </c>
      <c r="B7" s="230" t="s">
        <v>1</v>
      </c>
      <c r="C7" s="231">
        <v>450</v>
      </c>
      <c r="D7" s="231">
        <v>24</v>
      </c>
      <c r="E7" s="231">
        <v>5</v>
      </c>
      <c r="F7" s="232">
        <f t="shared" ref="F7:F49" si="1">+E7*D7*C7</f>
        <v>54000</v>
      </c>
      <c r="G7" s="295">
        <v>450</v>
      </c>
      <c r="H7" s="296">
        <v>24</v>
      </c>
      <c r="I7" s="296">
        <v>0</v>
      </c>
      <c r="J7" s="297">
        <f t="shared" ref="J7:J49" si="2">+I7*H7*G7</f>
        <v>0</v>
      </c>
      <c r="K7" s="255">
        <f>+I7+E7</f>
        <v>5</v>
      </c>
      <c r="L7" s="256">
        <f t="shared" ref="L7:L49" si="3">+K7*D7</f>
        <v>120</v>
      </c>
      <c r="M7" s="286">
        <v>0</v>
      </c>
      <c r="N7" s="287">
        <v>0</v>
      </c>
      <c r="O7" s="287">
        <f t="shared" si="0"/>
        <v>0</v>
      </c>
      <c r="P7" s="233">
        <f t="shared" ref="P7:P49" si="4">+F7+J7-O7</f>
        <v>54000</v>
      </c>
      <c r="Q7" s="234">
        <f t="shared" ref="Q7:Q49" si="5">+P7+O7</f>
        <v>54000</v>
      </c>
      <c r="R7" s="234">
        <f t="shared" ref="R7:R49" si="6">+J7+F7</f>
        <v>54000</v>
      </c>
      <c r="T7" s="234"/>
      <c r="U7" s="234"/>
      <c r="V7" s="234"/>
    </row>
    <row r="8" spans="1:22" s="229" customFormat="1" ht="23.1" customHeight="1" x14ac:dyDescent="0.3">
      <c r="A8" s="278" t="s">
        <v>46</v>
      </c>
      <c r="B8" s="230" t="s">
        <v>2</v>
      </c>
      <c r="C8" s="231">
        <v>450</v>
      </c>
      <c r="D8" s="231">
        <v>24</v>
      </c>
      <c r="E8" s="231">
        <f>4+15</f>
        <v>19</v>
      </c>
      <c r="F8" s="232">
        <f t="shared" si="1"/>
        <v>205200</v>
      </c>
      <c r="G8" s="295">
        <v>450</v>
      </c>
      <c r="H8" s="296">
        <v>24</v>
      </c>
      <c r="I8" s="296">
        <v>0</v>
      </c>
      <c r="J8" s="297">
        <f t="shared" si="2"/>
        <v>0</v>
      </c>
      <c r="K8" s="255">
        <f>+I8+E8</f>
        <v>19</v>
      </c>
      <c r="L8" s="256">
        <f t="shared" si="3"/>
        <v>456</v>
      </c>
      <c r="M8" s="286">
        <v>0</v>
      </c>
      <c r="N8" s="287">
        <v>0</v>
      </c>
      <c r="O8" s="287">
        <f t="shared" si="0"/>
        <v>0</v>
      </c>
      <c r="P8" s="233">
        <f t="shared" si="4"/>
        <v>205200</v>
      </c>
      <c r="Q8" s="234">
        <f t="shared" si="5"/>
        <v>205200</v>
      </c>
      <c r="R8" s="234">
        <f t="shared" si="6"/>
        <v>205200</v>
      </c>
      <c r="T8" s="234"/>
      <c r="U8" s="234"/>
      <c r="V8" s="234"/>
    </row>
    <row r="9" spans="1:22" s="229" customFormat="1" ht="23.1" customHeight="1" x14ac:dyDescent="0.3">
      <c r="A9" s="278" t="s">
        <v>46</v>
      </c>
      <c r="B9" s="230" t="s">
        <v>3</v>
      </c>
      <c r="C9" s="231">
        <v>450</v>
      </c>
      <c r="D9" s="231">
        <v>24</v>
      </c>
      <c r="E9" s="231">
        <f>40+20</f>
        <v>60</v>
      </c>
      <c r="F9" s="232">
        <f t="shared" si="1"/>
        <v>648000</v>
      </c>
      <c r="G9" s="295">
        <v>450</v>
      </c>
      <c r="H9" s="296">
        <v>24</v>
      </c>
      <c r="I9" s="296">
        <v>0</v>
      </c>
      <c r="J9" s="297">
        <f t="shared" si="2"/>
        <v>0</v>
      </c>
      <c r="K9" s="255">
        <f t="shared" ref="K9:K48" si="7">+I9+E9</f>
        <v>60</v>
      </c>
      <c r="L9" s="256">
        <f t="shared" si="3"/>
        <v>1440</v>
      </c>
      <c r="M9" s="286">
        <v>0</v>
      </c>
      <c r="N9" s="287">
        <v>0</v>
      </c>
      <c r="O9" s="287">
        <f t="shared" si="0"/>
        <v>0</v>
      </c>
      <c r="P9" s="233">
        <f t="shared" si="4"/>
        <v>648000</v>
      </c>
      <c r="Q9" s="234">
        <f t="shared" si="5"/>
        <v>648000</v>
      </c>
      <c r="R9" s="234">
        <f t="shared" si="6"/>
        <v>648000</v>
      </c>
      <c r="T9" s="234"/>
      <c r="U9" s="234"/>
      <c r="V9" s="234"/>
    </row>
    <row r="10" spans="1:22" s="229" customFormat="1" ht="23.1" customHeight="1" x14ac:dyDescent="0.3">
      <c r="A10" s="278" t="s">
        <v>46</v>
      </c>
      <c r="B10" s="230" t="s">
        <v>4</v>
      </c>
      <c r="C10" s="231">
        <v>450</v>
      </c>
      <c r="D10" s="231">
        <v>24</v>
      </c>
      <c r="E10" s="231">
        <f>10+27</f>
        <v>37</v>
      </c>
      <c r="F10" s="232">
        <f t="shared" si="1"/>
        <v>399600</v>
      </c>
      <c r="G10" s="295">
        <v>450</v>
      </c>
      <c r="H10" s="296">
        <v>24</v>
      </c>
      <c r="I10" s="296">
        <v>0</v>
      </c>
      <c r="J10" s="297">
        <f t="shared" si="2"/>
        <v>0</v>
      </c>
      <c r="K10" s="255">
        <f t="shared" si="7"/>
        <v>37</v>
      </c>
      <c r="L10" s="256">
        <f t="shared" si="3"/>
        <v>888</v>
      </c>
      <c r="M10" s="286">
        <v>0</v>
      </c>
      <c r="N10" s="287">
        <v>0</v>
      </c>
      <c r="O10" s="287">
        <f t="shared" si="0"/>
        <v>0</v>
      </c>
      <c r="P10" s="233">
        <f t="shared" si="4"/>
        <v>399600</v>
      </c>
      <c r="Q10" s="234">
        <f t="shared" si="5"/>
        <v>399600</v>
      </c>
      <c r="R10" s="234">
        <f t="shared" si="6"/>
        <v>399600</v>
      </c>
      <c r="T10" s="234"/>
      <c r="U10" s="234"/>
      <c r="V10" s="234"/>
    </row>
    <row r="11" spans="1:22" s="229" customFormat="1" ht="23.1" customHeight="1" x14ac:dyDescent="0.3">
      <c r="A11" s="278"/>
      <c r="B11" s="230" t="s">
        <v>230</v>
      </c>
      <c r="C11" s="231">
        <v>450</v>
      </c>
      <c r="D11" s="231">
        <v>24</v>
      </c>
      <c r="E11" s="231">
        <v>1</v>
      </c>
      <c r="F11" s="232">
        <f t="shared" ref="F11" si="8">+E11*D11*C11</f>
        <v>10800</v>
      </c>
      <c r="G11" s="295">
        <v>450</v>
      </c>
      <c r="H11" s="296">
        <v>24</v>
      </c>
      <c r="I11" s="296">
        <v>0</v>
      </c>
      <c r="J11" s="297">
        <f t="shared" si="2"/>
        <v>0</v>
      </c>
      <c r="K11" s="255">
        <f t="shared" si="7"/>
        <v>1</v>
      </c>
      <c r="L11" s="256">
        <f t="shared" si="3"/>
        <v>24</v>
      </c>
      <c r="M11" s="286">
        <v>0</v>
      </c>
      <c r="N11" s="287">
        <v>0</v>
      </c>
      <c r="O11" s="287">
        <f t="shared" ref="O11" si="9">+(M11*D11*C11)+(C11*N11)</f>
        <v>0</v>
      </c>
      <c r="P11" s="233">
        <f t="shared" si="4"/>
        <v>10800</v>
      </c>
      <c r="Q11" s="234">
        <f t="shared" si="5"/>
        <v>10800</v>
      </c>
      <c r="R11" s="234">
        <f t="shared" si="6"/>
        <v>10800</v>
      </c>
      <c r="T11" s="234"/>
      <c r="U11" s="234"/>
      <c r="V11" s="234"/>
    </row>
    <row r="12" spans="1:22" s="1" customFormat="1" ht="23.1" customHeight="1" x14ac:dyDescent="0.3">
      <c r="A12" s="279"/>
      <c r="B12" s="290" t="s">
        <v>220</v>
      </c>
      <c r="C12" s="291">
        <v>430</v>
      </c>
      <c r="D12" s="291">
        <v>24</v>
      </c>
      <c r="E12" s="291">
        <v>10</v>
      </c>
      <c r="F12" s="292">
        <f t="shared" si="1"/>
        <v>103200</v>
      </c>
      <c r="G12" s="293">
        <v>430</v>
      </c>
      <c r="H12" s="291">
        <v>24</v>
      </c>
      <c r="I12" s="291">
        <v>5</v>
      </c>
      <c r="J12" s="294">
        <f t="shared" si="2"/>
        <v>51600</v>
      </c>
      <c r="K12" s="255">
        <f t="shared" si="7"/>
        <v>15</v>
      </c>
      <c r="L12" s="256">
        <f t="shared" si="3"/>
        <v>360</v>
      </c>
      <c r="M12" s="310">
        <v>4</v>
      </c>
      <c r="N12" s="232">
        <v>2</v>
      </c>
      <c r="O12" s="232">
        <f t="shared" ref="O12" si="10">+(M12*D12*C12)+(C12*N12)</f>
        <v>42140</v>
      </c>
      <c r="P12" s="233">
        <f t="shared" si="4"/>
        <v>112660</v>
      </c>
      <c r="Q12" s="234">
        <f t="shared" si="5"/>
        <v>154800</v>
      </c>
      <c r="R12" s="234">
        <f t="shared" si="6"/>
        <v>154800</v>
      </c>
      <c r="T12" s="324"/>
      <c r="U12" s="324"/>
      <c r="V12" s="324"/>
    </row>
    <row r="13" spans="1:22" s="1" customFormat="1" ht="23.1" customHeight="1" x14ac:dyDescent="0.3">
      <c r="A13" s="3"/>
      <c r="B13" s="290" t="s">
        <v>226</v>
      </c>
      <c r="C13" s="291">
        <v>1000</v>
      </c>
      <c r="D13" s="291">
        <v>6</v>
      </c>
      <c r="E13" s="291">
        <v>5</v>
      </c>
      <c r="F13" s="292">
        <f t="shared" si="1"/>
        <v>30000</v>
      </c>
      <c r="G13" s="241">
        <v>1000</v>
      </c>
      <c r="H13" s="10">
        <v>24</v>
      </c>
      <c r="I13" s="10">
        <v>0</v>
      </c>
      <c r="J13" s="242">
        <f t="shared" si="2"/>
        <v>0</v>
      </c>
      <c r="K13" s="255">
        <f t="shared" si="7"/>
        <v>5</v>
      </c>
      <c r="L13" s="256">
        <f t="shared" si="3"/>
        <v>30</v>
      </c>
      <c r="M13" s="310">
        <v>2</v>
      </c>
      <c r="N13" s="232">
        <v>4</v>
      </c>
      <c r="O13" s="232">
        <f t="shared" ref="O13" si="11">+(M13*D13*C13)+(C13*N13)</f>
        <v>16000</v>
      </c>
      <c r="P13" s="233">
        <f t="shared" si="4"/>
        <v>14000</v>
      </c>
      <c r="Q13" s="234">
        <f t="shared" si="5"/>
        <v>30000</v>
      </c>
      <c r="R13" s="234">
        <f t="shared" si="6"/>
        <v>30000</v>
      </c>
      <c r="T13" s="324"/>
      <c r="U13" s="324"/>
      <c r="V13" s="324"/>
    </row>
    <row r="14" spans="1:22" s="1" customFormat="1" ht="23.1" customHeight="1" x14ac:dyDescent="0.3">
      <c r="A14" s="279" t="s">
        <v>46</v>
      </c>
      <c r="B14" s="290" t="s">
        <v>20</v>
      </c>
      <c r="C14" s="291">
        <v>310</v>
      </c>
      <c r="D14" s="291">
        <v>12</v>
      </c>
      <c r="E14" s="291">
        <v>20</v>
      </c>
      <c r="F14" s="292">
        <f t="shared" si="1"/>
        <v>74400</v>
      </c>
      <c r="G14" s="293">
        <v>310</v>
      </c>
      <c r="H14" s="291">
        <v>12</v>
      </c>
      <c r="I14" s="291">
        <v>10</v>
      </c>
      <c r="J14" s="294">
        <f t="shared" si="2"/>
        <v>37200</v>
      </c>
      <c r="K14" s="255">
        <f t="shared" si="7"/>
        <v>30</v>
      </c>
      <c r="L14" s="256">
        <f t="shared" si="3"/>
        <v>360</v>
      </c>
      <c r="M14" s="310">
        <v>17</v>
      </c>
      <c r="N14" s="232">
        <v>2</v>
      </c>
      <c r="O14" s="232">
        <f t="shared" ref="O14:O19" si="12">+(M14*D14*C14)+(C14*N14)</f>
        <v>63860</v>
      </c>
      <c r="P14" s="233">
        <f t="shared" si="4"/>
        <v>47740</v>
      </c>
      <c r="Q14" s="234">
        <f t="shared" si="5"/>
        <v>111600</v>
      </c>
      <c r="R14" s="234">
        <f t="shared" si="6"/>
        <v>111600</v>
      </c>
      <c r="T14" s="324"/>
      <c r="U14" s="324"/>
      <c r="V14" s="324"/>
    </row>
    <row r="15" spans="1:22" s="1" customFormat="1" ht="23.1" customHeight="1" x14ac:dyDescent="0.3">
      <c r="A15" s="279"/>
      <c r="B15" s="290" t="s">
        <v>164</v>
      </c>
      <c r="C15" s="291">
        <v>3300</v>
      </c>
      <c r="D15" s="291">
        <v>12</v>
      </c>
      <c r="E15" s="231">
        <v>7</v>
      </c>
      <c r="F15" s="292">
        <f t="shared" si="1"/>
        <v>277200</v>
      </c>
      <c r="G15" s="241">
        <v>3300</v>
      </c>
      <c r="H15" s="10">
        <v>12</v>
      </c>
      <c r="I15" s="10">
        <v>0</v>
      </c>
      <c r="J15" s="242">
        <f t="shared" si="2"/>
        <v>0</v>
      </c>
      <c r="K15" s="255">
        <f t="shared" si="7"/>
        <v>7</v>
      </c>
      <c r="L15" s="256">
        <f t="shared" si="3"/>
        <v>84</v>
      </c>
      <c r="M15" s="317">
        <v>5</v>
      </c>
      <c r="N15" s="232">
        <v>4</v>
      </c>
      <c r="O15" s="232">
        <f t="shared" si="12"/>
        <v>211200</v>
      </c>
      <c r="P15" s="233">
        <f t="shared" si="4"/>
        <v>66000</v>
      </c>
      <c r="Q15" s="234">
        <f t="shared" si="5"/>
        <v>277200</v>
      </c>
      <c r="R15" s="234">
        <f t="shared" si="6"/>
        <v>277200</v>
      </c>
      <c r="T15" s="324"/>
      <c r="U15" s="324"/>
      <c r="V15" s="324"/>
    </row>
    <row r="16" spans="1:22" s="1" customFormat="1" ht="23.1" customHeight="1" x14ac:dyDescent="0.3">
      <c r="A16" s="279"/>
      <c r="B16" s="290" t="s">
        <v>224</v>
      </c>
      <c r="C16" s="291">
        <v>3000</v>
      </c>
      <c r="D16" s="291">
        <v>1</v>
      </c>
      <c r="E16" s="291">
        <v>70</v>
      </c>
      <c r="F16" s="292">
        <f t="shared" si="1"/>
        <v>210000</v>
      </c>
      <c r="G16" s="241">
        <v>3000</v>
      </c>
      <c r="H16" s="10">
        <v>12</v>
      </c>
      <c r="I16" s="10">
        <v>0</v>
      </c>
      <c r="J16" s="242">
        <f t="shared" si="2"/>
        <v>0</v>
      </c>
      <c r="K16" s="255">
        <f t="shared" si="7"/>
        <v>70</v>
      </c>
      <c r="L16" s="256">
        <f t="shared" si="3"/>
        <v>70</v>
      </c>
      <c r="M16" s="310">
        <v>43</v>
      </c>
      <c r="N16" s="232">
        <v>0</v>
      </c>
      <c r="O16" s="232">
        <f t="shared" si="12"/>
        <v>129000</v>
      </c>
      <c r="P16" s="233">
        <f t="shared" si="4"/>
        <v>81000</v>
      </c>
      <c r="Q16" s="234">
        <f t="shared" si="5"/>
        <v>210000</v>
      </c>
      <c r="R16" s="234">
        <f t="shared" si="6"/>
        <v>210000</v>
      </c>
      <c r="T16" s="324"/>
      <c r="U16" s="324"/>
      <c r="V16" s="324"/>
    </row>
    <row r="17" spans="1:22" s="236" customFormat="1" ht="23.1" customHeight="1" x14ac:dyDescent="0.3">
      <c r="A17" s="280"/>
      <c r="B17" s="290" t="s">
        <v>222</v>
      </c>
      <c r="C17" s="291">
        <v>490</v>
      </c>
      <c r="D17" s="291">
        <v>24</v>
      </c>
      <c r="E17" s="231">
        <v>5</v>
      </c>
      <c r="F17" s="292">
        <f t="shared" si="1"/>
        <v>58800</v>
      </c>
      <c r="G17" s="293">
        <v>490</v>
      </c>
      <c r="H17" s="291">
        <v>24</v>
      </c>
      <c r="I17" s="291">
        <v>2</v>
      </c>
      <c r="J17" s="294">
        <f t="shared" si="2"/>
        <v>23520</v>
      </c>
      <c r="K17" s="255">
        <f t="shared" si="7"/>
        <v>7</v>
      </c>
      <c r="L17" s="256">
        <f t="shared" si="3"/>
        <v>168</v>
      </c>
      <c r="M17" s="312">
        <v>6</v>
      </c>
      <c r="N17" s="292">
        <v>0</v>
      </c>
      <c r="O17" s="292">
        <f t="shared" si="12"/>
        <v>70560</v>
      </c>
      <c r="P17" s="233">
        <f t="shared" si="4"/>
        <v>11760</v>
      </c>
      <c r="Q17" s="234">
        <f t="shared" si="5"/>
        <v>82320</v>
      </c>
      <c r="R17" s="234">
        <f t="shared" si="6"/>
        <v>82320</v>
      </c>
      <c r="T17" s="325"/>
      <c r="U17" s="325"/>
      <c r="V17" s="325"/>
    </row>
    <row r="18" spans="1:22" s="236" customFormat="1" ht="23.1" customHeight="1" x14ac:dyDescent="0.3">
      <c r="A18" s="235" t="s">
        <v>46</v>
      </c>
      <c r="B18" s="290" t="s">
        <v>6</v>
      </c>
      <c r="C18" s="291">
        <v>430</v>
      </c>
      <c r="D18" s="291">
        <v>24</v>
      </c>
      <c r="E18" s="231">
        <v>20</v>
      </c>
      <c r="F18" s="292">
        <f t="shared" si="1"/>
        <v>206400</v>
      </c>
      <c r="G18" s="298">
        <v>430</v>
      </c>
      <c r="H18" s="299">
        <v>24</v>
      </c>
      <c r="I18" s="299">
        <v>0</v>
      </c>
      <c r="J18" s="300">
        <f t="shared" si="2"/>
        <v>0</v>
      </c>
      <c r="K18" s="255">
        <f t="shared" si="7"/>
        <v>20</v>
      </c>
      <c r="L18" s="256">
        <f t="shared" si="3"/>
        <v>480</v>
      </c>
      <c r="M18" s="289">
        <v>0</v>
      </c>
      <c r="N18" s="288">
        <v>0</v>
      </c>
      <c r="O18" s="288">
        <f t="shared" si="12"/>
        <v>0</v>
      </c>
      <c r="P18" s="233">
        <f t="shared" si="4"/>
        <v>206400</v>
      </c>
      <c r="Q18" s="234">
        <f t="shared" si="5"/>
        <v>206400</v>
      </c>
      <c r="R18" s="234">
        <f t="shared" si="6"/>
        <v>206400</v>
      </c>
      <c r="T18" s="325"/>
      <c r="U18" s="325"/>
      <c r="V18" s="325"/>
    </row>
    <row r="19" spans="1:22" s="236" customFormat="1" ht="23.1" customHeight="1" x14ac:dyDescent="0.3">
      <c r="A19" s="235" t="s">
        <v>46</v>
      </c>
      <c r="B19" s="290" t="s">
        <v>7</v>
      </c>
      <c r="C19" s="291">
        <v>430</v>
      </c>
      <c r="D19" s="291">
        <v>24</v>
      </c>
      <c r="E19" s="231">
        <v>30</v>
      </c>
      <c r="F19" s="292">
        <f t="shared" si="1"/>
        <v>309600</v>
      </c>
      <c r="G19" s="298">
        <v>430</v>
      </c>
      <c r="H19" s="299">
        <v>24</v>
      </c>
      <c r="I19" s="299">
        <v>0</v>
      </c>
      <c r="J19" s="300">
        <f t="shared" si="2"/>
        <v>0</v>
      </c>
      <c r="K19" s="255">
        <f t="shared" si="7"/>
        <v>30</v>
      </c>
      <c r="L19" s="256">
        <f t="shared" si="3"/>
        <v>720</v>
      </c>
      <c r="M19" s="311">
        <v>28</v>
      </c>
      <c r="N19" s="292">
        <v>12</v>
      </c>
      <c r="O19" s="292">
        <f t="shared" si="12"/>
        <v>294120</v>
      </c>
      <c r="P19" s="233">
        <f t="shared" si="4"/>
        <v>15480</v>
      </c>
      <c r="Q19" s="234">
        <f t="shared" si="5"/>
        <v>309600</v>
      </c>
      <c r="R19" s="234">
        <f t="shared" si="6"/>
        <v>309600</v>
      </c>
      <c r="T19" s="325"/>
      <c r="U19" s="325"/>
      <c r="V19" s="325"/>
    </row>
    <row r="20" spans="1:22" s="236" customFormat="1" ht="23.1" customHeight="1" x14ac:dyDescent="0.3">
      <c r="A20" s="279"/>
      <c r="B20" s="290" t="s">
        <v>221</v>
      </c>
      <c r="C20" s="291">
        <v>700</v>
      </c>
      <c r="D20" s="291">
        <v>24</v>
      </c>
      <c r="E20" s="291">
        <v>5</v>
      </c>
      <c r="F20" s="292">
        <f t="shared" si="1"/>
        <v>84000</v>
      </c>
      <c r="G20" s="298">
        <v>700</v>
      </c>
      <c r="H20" s="299">
        <v>24</v>
      </c>
      <c r="I20" s="299">
        <v>0</v>
      </c>
      <c r="J20" s="300">
        <f t="shared" si="2"/>
        <v>0</v>
      </c>
      <c r="K20" s="255">
        <f t="shared" si="7"/>
        <v>5</v>
      </c>
      <c r="L20" s="256">
        <f t="shared" si="3"/>
        <v>120</v>
      </c>
      <c r="M20" s="311">
        <v>2</v>
      </c>
      <c r="N20" s="292">
        <v>0</v>
      </c>
      <c r="O20" s="292">
        <f t="shared" ref="O20" si="13">+(M20*D20*C20)+(C20*N20)</f>
        <v>33600</v>
      </c>
      <c r="P20" s="233">
        <f t="shared" si="4"/>
        <v>50400</v>
      </c>
      <c r="Q20" s="234">
        <f t="shared" si="5"/>
        <v>84000</v>
      </c>
      <c r="R20" s="234">
        <f t="shared" si="6"/>
        <v>84000</v>
      </c>
      <c r="T20" s="325"/>
      <c r="U20" s="325"/>
      <c r="V20" s="325"/>
    </row>
    <row r="21" spans="1:22" s="236" customFormat="1" ht="23.1" customHeight="1" x14ac:dyDescent="0.3">
      <c r="A21" s="279" t="s">
        <v>46</v>
      </c>
      <c r="B21" s="290" t="s">
        <v>8</v>
      </c>
      <c r="C21" s="291">
        <v>700</v>
      </c>
      <c r="D21" s="291">
        <v>24</v>
      </c>
      <c r="E21" s="291">
        <f>40+10</f>
        <v>50</v>
      </c>
      <c r="F21" s="292">
        <f t="shared" si="1"/>
        <v>840000</v>
      </c>
      <c r="G21" s="293">
        <v>700</v>
      </c>
      <c r="H21" s="291">
        <v>24</v>
      </c>
      <c r="I21" s="291">
        <v>20</v>
      </c>
      <c r="J21" s="294">
        <f t="shared" si="2"/>
        <v>336000</v>
      </c>
      <c r="K21" s="255">
        <f t="shared" si="7"/>
        <v>70</v>
      </c>
      <c r="L21" s="256">
        <f t="shared" si="3"/>
        <v>1680</v>
      </c>
      <c r="M21" s="310">
        <v>30</v>
      </c>
      <c r="N21" s="232">
        <v>3</v>
      </c>
      <c r="O21" s="232">
        <f t="shared" ref="O21:O26" si="14">+(M21*D21*C21)+(C21*N21)</f>
        <v>506100</v>
      </c>
      <c r="P21" s="233">
        <f t="shared" si="4"/>
        <v>669900</v>
      </c>
      <c r="Q21" s="234">
        <f t="shared" si="5"/>
        <v>1176000</v>
      </c>
      <c r="R21" s="234">
        <f t="shared" si="6"/>
        <v>1176000</v>
      </c>
      <c r="T21" s="325"/>
      <c r="U21" s="325"/>
      <c r="V21" s="325"/>
    </row>
    <row r="22" spans="1:22" s="1" customFormat="1" ht="23.1" customHeight="1" x14ac:dyDescent="0.3">
      <c r="A22" s="279" t="s">
        <v>46</v>
      </c>
      <c r="B22" s="290" t="s">
        <v>9</v>
      </c>
      <c r="C22" s="291">
        <v>1000</v>
      </c>
      <c r="D22" s="291">
        <v>24</v>
      </c>
      <c r="E22" s="231">
        <v>7</v>
      </c>
      <c r="F22" s="292">
        <f t="shared" si="1"/>
        <v>168000</v>
      </c>
      <c r="G22" s="293">
        <v>1000</v>
      </c>
      <c r="H22" s="291">
        <v>24</v>
      </c>
      <c r="I22" s="291">
        <v>3</v>
      </c>
      <c r="J22" s="294">
        <f t="shared" si="2"/>
        <v>72000</v>
      </c>
      <c r="K22" s="255">
        <f t="shared" si="7"/>
        <v>10</v>
      </c>
      <c r="L22" s="256">
        <f t="shared" si="3"/>
        <v>240</v>
      </c>
      <c r="M22" s="310">
        <v>6</v>
      </c>
      <c r="N22" s="232">
        <v>12</v>
      </c>
      <c r="O22" s="232">
        <f t="shared" si="14"/>
        <v>156000</v>
      </c>
      <c r="P22" s="233">
        <f t="shared" si="4"/>
        <v>84000</v>
      </c>
      <c r="Q22" s="234">
        <f t="shared" si="5"/>
        <v>240000</v>
      </c>
      <c r="R22" s="234">
        <f t="shared" si="6"/>
        <v>240000</v>
      </c>
      <c r="T22" s="324"/>
      <c r="U22" s="324"/>
      <c r="V22" s="324"/>
    </row>
    <row r="23" spans="1:22" s="1" customFormat="1" ht="23.1" customHeight="1" x14ac:dyDescent="0.3">
      <c r="A23" s="3" t="s">
        <v>46</v>
      </c>
      <c r="B23" s="290" t="s">
        <v>199</v>
      </c>
      <c r="C23" s="291">
        <v>800</v>
      </c>
      <c r="D23" s="291">
        <v>24</v>
      </c>
      <c r="E23" s="231">
        <v>5</v>
      </c>
      <c r="F23" s="292">
        <f t="shared" si="1"/>
        <v>96000</v>
      </c>
      <c r="G23" s="241">
        <v>800</v>
      </c>
      <c r="H23" s="10">
        <v>24</v>
      </c>
      <c r="I23" s="10">
        <v>0</v>
      </c>
      <c r="J23" s="242">
        <f t="shared" si="2"/>
        <v>0</v>
      </c>
      <c r="K23" s="255">
        <f t="shared" si="7"/>
        <v>5</v>
      </c>
      <c r="L23" s="256">
        <f t="shared" si="3"/>
        <v>120</v>
      </c>
      <c r="M23" s="317">
        <v>3</v>
      </c>
      <c r="N23" s="232">
        <v>0</v>
      </c>
      <c r="O23" s="232">
        <f t="shared" si="14"/>
        <v>57600</v>
      </c>
      <c r="P23" s="233">
        <f t="shared" si="4"/>
        <v>38400</v>
      </c>
      <c r="Q23" s="234">
        <f t="shared" si="5"/>
        <v>96000</v>
      </c>
      <c r="R23" s="234">
        <f t="shared" si="6"/>
        <v>96000</v>
      </c>
      <c r="T23" s="324"/>
      <c r="U23" s="324"/>
      <c r="V23" s="324"/>
    </row>
    <row r="24" spans="1:22" s="1" customFormat="1" ht="23.1" customHeight="1" x14ac:dyDescent="0.3">
      <c r="A24" s="3"/>
      <c r="B24" s="290" t="s">
        <v>239</v>
      </c>
      <c r="C24" s="291">
        <v>800</v>
      </c>
      <c r="D24" s="291">
        <v>24</v>
      </c>
      <c r="E24" s="231">
        <v>5</v>
      </c>
      <c r="F24" s="292">
        <f t="shared" ref="F24" si="15">+E24*D24*C24</f>
        <v>96000</v>
      </c>
      <c r="G24" s="241">
        <v>800</v>
      </c>
      <c r="H24" s="10">
        <v>24</v>
      </c>
      <c r="I24" s="10">
        <v>0</v>
      </c>
      <c r="J24" s="242">
        <f t="shared" ref="J24" si="16">+I24*H24*G24</f>
        <v>0</v>
      </c>
      <c r="K24" s="255">
        <f t="shared" si="7"/>
        <v>5</v>
      </c>
      <c r="L24" s="256">
        <f t="shared" si="3"/>
        <v>120</v>
      </c>
      <c r="M24" s="310">
        <v>3</v>
      </c>
      <c r="N24" s="232">
        <v>0</v>
      </c>
      <c r="O24" s="232">
        <f t="shared" si="14"/>
        <v>57600</v>
      </c>
      <c r="P24" s="233">
        <f t="shared" si="4"/>
        <v>38400</v>
      </c>
      <c r="Q24" s="234">
        <f t="shared" si="5"/>
        <v>96000</v>
      </c>
      <c r="R24" s="234">
        <f t="shared" si="6"/>
        <v>96000</v>
      </c>
      <c r="T24" s="324"/>
      <c r="U24" s="324"/>
      <c r="V24" s="324"/>
    </row>
    <row r="25" spans="1:22" s="1" customFormat="1" ht="23.1" customHeight="1" x14ac:dyDescent="0.3">
      <c r="A25" s="279" t="s">
        <v>46</v>
      </c>
      <c r="B25" s="290" t="s">
        <v>11</v>
      </c>
      <c r="C25" s="291">
        <v>4290</v>
      </c>
      <c r="D25" s="291">
        <v>12</v>
      </c>
      <c r="E25" s="291">
        <v>10</v>
      </c>
      <c r="F25" s="292">
        <f t="shared" si="1"/>
        <v>514800</v>
      </c>
      <c r="G25" s="241">
        <v>4290</v>
      </c>
      <c r="H25" s="10">
        <v>12</v>
      </c>
      <c r="I25" s="10">
        <v>0</v>
      </c>
      <c r="J25" s="242">
        <f t="shared" si="2"/>
        <v>0</v>
      </c>
      <c r="K25" s="255">
        <f t="shared" si="7"/>
        <v>10</v>
      </c>
      <c r="L25" s="256">
        <f t="shared" si="3"/>
        <v>120</v>
      </c>
      <c r="M25" s="310">
        <v>5</v>
      </c>
      <c r="N25" s="232">
        <v>5</v>
      </c>
      <c r="O25" s="232">
        <f t="shared" si="14"/>
        <v>278850</v>
      </c>
      <c r="P25" s="233">
        <f t="shared" si="4"/>
        <v>235950</v>
      </c>
      <c r="Q25" s="234">
        <f t="shared" si="5"/>
        <v>514800</v>
      </c>
      <c r="R25" s="234">
        <f t="shared" si="6"/>
        <v>514800</v>
      </c>
      <c r="T25" s="324"/>
      <c r="U25" s="324"/>
      <c r="V25" s="324"/>
    </row>
    <row r="26" spans="1:22" s="1" customFormat="1" ht="23.1" customHeight="1" x14ac:dyDescent="0.3">
      <c r="A26" s="279" t="s">
        <v>46</v>
      </c>
      <c r="B26" s="290" t="s">
        <v>12</v>
      </c>
      <c r="C26" s="305">
        <v>4290</v>
      </c>
      <c r="D26" s="291">
        <v>12</v>
      </c>
      <c r="E26" s="291">
        <v>5</v>
      </c>
      <c r="F26" s="292">
        <f t="shared" si="1"/>
        <v>257400</v>
      </c>
      <c r="G26" s="241">
        <v>0</v>
      </c>
      <c r="H26" s="10">
        <v>12</v>
      </c>
      <c r="I26" s="10">
        <v>0</v>
      </c>
      <c r="J26" s="242">
        <f t="shared" si="2"/>
        <v>0</v>
      </c>
      <c r="K26" s="255">
        <f t="shared" si="7"/>
        <v>5</v>
      </c>
      <c r="L26" s="256">
        <f t="shared" si="3"/>
        <v>60</v>
      </c>
      <c r="M26" s="310">
        <v>1</v>
      </c>
      <c r="N26" s="232">
        <v>1</v>
      </c>
      <c r="O26" s="232">
        <f t="shared" si="14"/>
        <v>55770</v>
      </c>
      <c r="P26" s="233">
        <f t="shared" si="4"/>
        <v>201630</v>
      </c>
      <c r="Q26" s="234">
        <f t="shared" si="5"/>
        <v>257400</v>
      </c>
      <c r="R26" s="234">
        <f t="shared" si="6"/>
        <v>257400</v>
      </c>
      <c r="T26" s="324"/>
      <c r="U26" s="324"/>
      <c r="V26" s="324"/>
    </row>
    <row r="27" spans="1:22" s="1" customFormat="1" ht="23.1" customHeight="1" x14ac:dyDescent="0.3">
      <c r="A27" s="279"/>
      <c r="B27" s="290" t="s">
        <v>209</v>
      </c>
      <c r="C27" s="291">
        <v>3000</v>
      </c>
      <c r="D27" s="291">
        <v>12</v>
      </c>
      <c r="E27" s="291">
        <v>1</v>
      </c>
      <c r="F27" s="292">
        <f t="shared" si="1"/>
        <v>36000</v>
      </c>
      <c r="G27" s="241">
        <v>3000</v>
      </c>
      <c r="H27" s="10">
        <v>12</v>
      </c>
      <c r="I27" s="10">
        <v>0</v>
      </c>
      <c r="J27" s="242">
        <f t="shared" si="2"/>
        <v>0</v>
      </c>
      <c r="K27" s="255">
        <f t="shared" si="7"/>
        <v>1</v>
      </c>
      <c r="L27" s="256">
        <f t="shared" si="3"/>
        <v>12</v>
      </c>
      <c r="M27" s="310">
        <v>1</v>
      </c>
      <c r="N27" s="232">
        <v>0</v>
      </c>
      <c r="O27" s="232">
        <f t="shared" ref="O27" si="17">+(M27*D27*C27)+(C27*N27)</f>
        <v>36000</v>
      </c>
      <c r="P27" s="233">
        <f t="shared" si="4"/>
        <v>0</v>
      </c>
      <c r="Q27" s="234">
        <f t="shared" si="5"/>
        <v>36000</v>
      </c>
      <c r="R27" s="234">
        <f t="shared" si="6"/>
        <v>36000</v>
      </c>
      <c r="T27" s="324"/>
      <c r="U27" s="324"/>
      <c r="V27" s="324"/>
    </row>
    <row r="28" spans="1:22" s="1" customFormat="1" ht="23.1" customHeight="1" x14ac:dyDescent="0.3">
      <c r="A28" s="279" t="s">
        <v>46</v>
      </c>
      <c r="B28" s="290" t="s">
        <v>13</v>
      </c>
      <c r="C28" s="291">
        <v>4990</v>
      </c>
      <c r="D28" s="291">
        <v>12</v>
      </c>
      <c r="E28" s="291">
        <v>2</v>
      </c>
      <c r="F28" s="292">
        <f t="shared" si="1"/>
        <v>119760</v>
      </c>
      <c r="G28" s="241">
        <v>4990</v>
      </c>
      <c r="H28" s="10">
        <v>12</v>
      </c>
      <c r="I28" s="10">
        <v>0</v>
      </c>
      <c r="J28" s="242">
        <f t="shared" si="2"/>
        <v>0</v>
      </c>
      <c r="K28" s="255">
        <f t="shared" si="7"/>
        <v>2</v>
      </c>
      <c r="L28" s="256">
        <f t="shared" si="3"/>
        <v>24</v>
      </c>
      <c r="M28" s="310">
        <v>1</v>
      </c>
      <c r="N28" s="232">
        <v>2</v>
      </c>
      <c r="O28" s="232">
        <f>+(M28*D28*C28)+(C28*N28)</f>
        <v>69860</v>
      </c>
      <c r="P28" s="233">
        <f t="shared" si="4"/>
        <v>49900</v>
      </c>
      <c r="Q28" s="234">
        <f t="shared" si="5"/>
        <v>119760</v>
      </c>
      <c r="R28" s="234">
        <f t="shared" si="6"/>
        <v>119760</v>
      </c>
      <c r="T28" s="324"/>
      <c r="U28" s="324"/>
      <c r="V28" s="324"/>
    </row>
    <row r="29" spans="1:22" s="1" customFormat="1" ht="23.1" customHeight="1" x14ac:dyDescent="0.3">
      <c r="A29" s="3"/>
      <c r="B29" s="290" t="s">
        <v>165</v>
      </c>
      <c r="C29" s="291">
        <v>3500</v>
      </c>
      <c r="D29" s="291">
        <v>12</v>
      </c>
      <c r="E29" s="291">
        <v>1</v>
      </c>
      <c r="F29" s="292">
        <f t="shared" si="1"/>
        <v>42000</v>
      </c>
      <c r="G29" s="241">
        <v>3500</v>
      </c>
      <c r="H29" s="10">
        <v>12</v>
      </c>
      <c r="I29" s="10">
        <v>0</v>
      </c>
      <c r="J29" s="242">
        <f t="shared" si="2"/>
        <v>0</v>
      </c>
      <c r="K29" s="255">
        <f t="shared" si="7"/>
        <v>1</v>
      </c>
      <c r="L29" s="256">
        <f t="shared" si="3"/>
        <v>12</v>
      </c>
      <c r="M29" s="310">
        <v>0</v>
      </c>
      <c r="N29" s="232">
        <v>11</v>
      </c>
      <c r="O29" s="232">
        <f t="shared" ref="O29" si="18">+(M29*D29*C29)+(C29*N29)</f>
        <v>38500</v>
      </c>
      <c r="P29" s="233">
        <f t="shared" si="4"/>
        <v>3500</v>
      </c>
      <c r="Q29" s="234">
        <f t="shared" si="5"/>
        <v>42000</v>
      </c>
      <c r="R29" s="234">
        <f t="shared" si="6"/>
        <v>42000</v>
      </c>
      <c r="T29" s="324"/>
      <c r="U29" s="324"/>
      <c r="V29" s="324"/>
    </row>
    <row r="30" spans="1:22" s="1" customFormat="1" ht="23.1" customHeight="1" x14ac:dyDescent="0.3">
      <c r="A30" s="279" t="s">
        <v>46</v>
      </c>
      <c r="B30" s="290" t="s">
        <v>14</v>
      </c>
      <c r="C30" s="291">
        <v>5000</v>
      </c>
      <c r="D30" s="291">
        <v>12</v>
      </c>
      <c r="E30" s="291">
        <v>8</v>
      </c>
      <c r="F30" s="292">
        <f t="shared" si="1"/>
        <v>480000</v>
      </c>
      <c r="G30" s="293">
        <v>5000</v>
      </c>
      <c r="H30" s="291">
        <v>12</v>
      </c>
      <c r="I30" s="291">
        <v>3</v>
      </c>
      <c r="J30" s="294">
        <f t="shared" si="2"/>
        <v>180000</v>
      </c>
      <c r="K30" s="255">
        <f t="shared" si="7"/>
        <v>11</v>
      </c>
      <c r="L30" s="256">
        <f t="shared" si="3"/>
        <v>132</v>
      </c>
      <c r="M30" s="310">
        <v>5</v>
      </c>
      <c r="N30" s="232">
        <v>8</v>
      </c>
      <c r="O30" s="232">
        <f>+(M30*D30*C30)+(C30*N30)</f>
        <v>340000</v>
      </c>
      <c r="P30" s="233">
        <f t="shared" si="4"/>
        <v>320000</v>
      </c>
      <c r="Q30" s="234">
        <f t="shared" si="5"/>
        <v>660000</v>
      </c>
      <c r="R30" s="234">
        <f t="shared" si="6"/>
        <v>660000</v>
      </c>
      <c r="T30" s="324"/>
      <c r="U30" s="324"/>
      <c r="V30" s="324"/>
    </row>
    <row r="31" spans="1:22" s="1" customFormat="1" ht="23.1" customHeight="1" x14ac:dyDescent="0.3">
      <c r="A31" s="279" t="s">
        <v>46</v>
      </c>
      <c r="B31" s="290" t="s">
        <v>15</v>
      </c>
      <c r="C31" s="291">
        <v>8500</v>
      </c>
      <c r="D31" s="291">
        <v>12</v>
      </c>
      <c r="E31" s="291">
        <v>2</v>
      </c>
      <c r="F31" s="292">
        <f t="shared" si="1"/>
        <v>204000</v>
      </c>
      <c r="G31" s="241">
        <v>8500</v>
      </c>
      <c r="H31" s="10">
        <v>12</v>
      </c>
      <c r="I31" s="10">
        <v>0</v>
      </c>
      <c r="J31" s="242">
        <f t="shared" si="2"/>
        <v>0</v>
      </c>
      <c r="K31" s="255">
        <f t="shared" si="7"/>
        <v>2</v>
      </c>
      <c r="L31" s="256">
        <f t="shared" si="3"/>
        <v>24</v>
      </c>
      <c r="M31" s="286">
        <v>0</v>
      </c>
      <c r="N31" s="287">
        <v>0</v>
      </c>
      <c r="O31" s="287">
        <f>+(M31*D31*C31)+(C31*N31)</f>
        <v>0</v>
      </c>
      <c r="P31" s="233">
        <f t="shared" si="4"/>
        <v>204000</v>
      </c>
      <c r="Q31" s="234">
        <f t="shared" si="5"/>
        <v>204000</v>
      </c>
      <c r="R31" s="234">
        <f t="shared" si="6"/>
        <v>204000</v>
      </c>
      <c r="T31" s="324"/>
      <c r="U31" s="324"/>
      <c r="V31" s="324"/>
    </row>
    <row r="32" spans="1:22" s="1" customFormat="1" ht="23.1" customHeight="1" x14ac:dyDescent="0.3">
      <c r="A32" s="279"/>
      <c r="B32" s="290" t="s">
        <v>223</v>
      </c>
      <c r="C32" s="291">
        <v>18500</v>
      </c>
      <c r="D32" s="291">
        <v>12</v>
      </c>
      <c r="E32" s="291">
        <v>1</v>
      </c>
      <c r="F32" s="292">
        <f t="shared" si="1"/>
        <v>222000</v>
      </c>
      <c r="G32" s="293">
        <v>18500</v>
      </c>
      <c r="H32" s="291">
        <v>6</v>
      </c>
      <c r="I32" s="291">
        <v>1</v>
      </c>
      <c r="J32" s="294">
        <f t="shared" si="2"/>
        <v>111000</v>
      </c>
      <c r="K32" s="255">
        <f t="shared" si="7"/>
        <v>2</v>
      </c>
      <c r="L32" s="256">
        <f t="shared" si="3"/>
        <v>24</v>
      </c>
      <c r="M32" s="310">
        <v>0</v>
      </c>
      <c r="N32" s="232">
        <v>5</v>
      </c>
      <c r="O32" s="232">
        <f t="shared" ref="O32" si="19">+(M32*D32*C32)+(C32*N32)</f>
        <v>92500</v>
      </c>
      <c r="P32" s="233">
        <f t="shared" si="4"/>
        <v>240500</v>
      </c>
      <c r="Q32" s="234">
        <f t="shared" si="5"/>
        <v>333000</v>
      </c>
      <c r="R32" s="234">
        <f t="shared" si="6"/>
        <v>333000</v>
      </c>
      <c r="T32" s="324"/>
      <c r="U32" s="324"/>
      <c r="V32" s="324"/>
    </row>
    <row r="33" spans="1:22" s="1" customFormat="1" ht="23.1" customHeight="1" x14ac:dyDescent="0.3">
      <c r="A33" s="3" t="s">
        <v>46</v>
      </c>
      <c r="B33" s="290" t="s">
        <v>16</v>
      </c>
      <c r="C33" s="291">
        <v>7500</v>
      </c>
      <c r="D33" s="291">
        <v>12</v>
      </c>
      <c r="E33" s="231">
        <v>8</v>
      </c>
      <c r="F33" s="292">
        <f t="shared" si="1"/>
        <v>720000</v>
      </c>
      <c r="G33" s="241">
        <v>7500</v>
      </c>
      <c r="H33" s="10">
        <v>12</v>
      </c>
      <c r="I33" s="10">
        <v>0</v>
      </c>
      <c r="J33" s="242">
        <f t="shared" si="2"/>
        <v>0</v>
      </c>
      <c r="K33" s="255">
        <f t="shared" si="7"/>
        <v>8</v>
      </c>
      <c r="L33" s="256">
        <f t="shared" si="3"/>
        <v>96</v>
      </c>
      <c r="M33" s="317">
        <v>4</v>
      </c>
      <c r="N33" s="232">
        <v>5</v>
      </c>
      <c r="O33" s="232">
        <f>+(M33*D33*C33)+(C33*N33)</f>
        <v>397500</v>
      </c>
      <c r="P33" s="233">
        <f t="shared" si="4"/>
        <v>322500</v>
      </c>
      <c r="Q33" s="234">
        <f t="shared" si="5"/>
        <v>720000</v>
      </c>
      <c r="R33" s="234">
        <f t="shared" si="6"/>
        <v>720000</v>
      </c>
      <c r="T33" s="324"/>
      <c r="U33" s="324"/>
      <c r="V33" s="324"/>
    </row>
    <row r="34" spans="1:22" s="1" customFormat="1" ht="23.1" customHeight="1" x14ac:dyDescent="0.3">
      <c r="A34" s="279"/>
      <c r="B34" s="290" t="s">
        <v>229</v>
      </c>
      <c r="C34" s="291">
        <v>7000</v>
      </c>
      <c r="D34" s="291">
        <v>12</v>
      </c>
      <c r="E34" s="291">
        <v>2</v>
      </c>
      <c r="F34" s="292">
        <f t="shared" si="1"/>
        <v>168000</v>
      </c>
      <c r="G34" s="241">
        <v>7000</v>
      </c>
      <c r="H34" s="10">
        <v>12</v>
      </c>
      <c r="I34" s="10">
        <v>0</v>
      </c>
      <c r="J34" s="242">
        <f t="shared" si="2"/>
        <v>0</v>
      </c>
      <c r="K34" s="255">
        <f t="shared" si="7"/>
        <v>2</v>
      </c>
      <c r="L34" s="256">
        <f t="shared" si="3"/>
        <v>24</v>
      </c>
      <c r="M34" s="310">
        <v>1</v>
      </c>
      <c r="N34" s="232">
        <v>5</v>
      </c>
      <c r="O34" s="232">
        <f t="shared" ref="O34" si="20">+(M34*D34*C34)+(C34*N34)</f>
        <v>119000</v>
      </c>
      <c r="P34" s="233">
        <f t="shared" si="4"/>
        <v>49000</v>
      </c>
      <c r="Q34" s="234">
        <f t="shared" si="5"/>
        <v>168000</v>
      </c>
      <c r="R34" s="234">
        <f t="shared" si="6"/>
        <v>168000</v>
      </c>
      <c r="T34" s="324"/>
      <c r="U34" s="324"/>
      <c r="V34" s="324"/>
    </row>
    <row r="35" spans="1:22" s="1" customFormat="1" ht="23.1" customHeight="1" x14ac:dyDescent="0.3">
      <c r="A35" s="279" t="s">
        <v>46</v>
      </c>
      <c r="B35" s="290" t="s">
        <v>18</v>
      </c>
      <c r="C35" s="291">
        <v>2790</v>
      </c>
      <c r="D35" s="291">
        <v>6</v>
      </c>
      <c r="E35" s="291">
        <v>4</v>
      </c>
      <c r="F35" s="292">
        <f t="shared" si="1"/>
        <v>66960</v>
      </c>
      <c r="G35" s="241">
        <v>2790</v>
      </c>
      <c r="H35" s="10">
        <v>12</v>
      </c>
      <c r="I35" s="10">
        <v>0</v>
      </c>
      <c r="J35" s="242">
        <f t="shared" si="2"/>
        <v>0</v>
      </c>
      <c r="K35" s="255">
        <f t="shared" si="7"/>
        <v>4</v>
      </c>
      <c r="L35" s="256">
        <f t="shared" si="3"/>
        <v>24</v>
      </c>
      <c r="M35" s="286">
        <v>0</v>
      </c>
      <c r="N35" s="287">
        <v>0</v>
      </c>
      <c r="O35" s="287">
        <f>+(M35*D35*C35)+(C35*N35)</f>
        <v>0</v>
      </c>
      <c r="P35" s="233">
        <f t="shared" si="4"/>
        <v>66960</v>
      </c>
      <c r="Q35" s="234">
        <f t="shared" si="5"/>
        <v>66960</v>
      </c>
      <c r="R35" s="234">
        <f t="shared" si="6"/>
        <v>66960</v>
      </c>
      <c r="T35" s="324"/>
      <c r="U35" s="324"/>
      <c r="V35" s="324"/>
    </row>
    <row r="36" spans="1:22" s="1" customFormat="1" ht="23.1" customHeight="1" x14ac:dyDescent="0.3">
      <c r="A36" s="279" t="s">
        <v>46</v>
      </c>
      <c r="B36" s="290" t="s">
        <v>19</v>
      </c>
      <c r="C36" s="291">
        <v>2790</v>
      </c>
      <c r="D36" s="291">
        <v>12</v>
      </c>
      <c r="E36" s="291">
        <v>2</v>
      </c>
      <c r="F36" s="292">
        <f t="shared" si="1"/>
        <v>66960</v>
      </c>
      <c r="G36" s="241">
        <v>2790</v>
      </c>
      <c r="H36" s="10">
        <v>12</v>
      </c>
      <c r="I36" s="10">
        <v>0</v>
      </c>
      <c r="J36" s="242">
        <f t="shared" si="2"/>
        <v>0</v>
      </c>
      <c r="K36" s="255">
        <f t="shared" si="7"/>
        <v>2</v>
      </c>
      <c r="L36" s="256">
        <f t="shared" si="3"/>
        <v>24</v>
      </c>
      <c r="M36" s="310">
        <v>0</v>
      </c>
      <c r="N36" s="232">
        <v>10</v>
      </c>
      <c r="O36" s="232">
        <f>+(M36*D36*C36)+(C36*N36)</f>
        <v>27900</v>
      </c>
      <c r="P36" s="233">
        <f t="shared" si="4"/>
        <v>39060</v>
      </c>
      <c r="Q36" s="234">
        <f t="shared" si="5"/>
        <v>66960</v>
      </c>
      <c r="R36" s="234">
        <f t="shared" si="6"/>
        <v>66960</v>
      </c>
      <c r="T36" s="324"/>
      <c r="U36" s="324"/>
      <c r="V36" s="324"/>
    </row>
    <row r="37" spans="1:22" s="1" customFormat="1" ht="23.1" customHeight="1" x14ac:dyDescent="0.3">
      <c r="A37" s="279" t="s">
        <v>46</v>
      </c>
      <c r="B37" s="290" t="s">
        <v>233</v>
      </c>
      <c r="C37" s="291">
        <v>3500</v>
      </c>
      <c r="D37" s="291">
        <v>10</v>
      </c>
      <c r="E37" s="291">
        <v>7</v>
      </c>
      <c r="F37" s="292">
        <f t="shared" si="1"/>
        <v>245000</v>
      </c>
      <c r="G37" s="241">
        <v>3500</v>
      </c>
      <c r="H37" s="10">
        <v>10</v>
      </c>
      <c r="I37" s="10">
        <v>0</v>
      </c>
      <c r="J37" s="242">
        <f t="shared" si="2"/>
        <v>0</v>
      </c>
      <c r="K37" s="255">
        <f t="shared" si="7"/>
        <v>7</v>
      </c>
      <c r="L37" s="256">
        <f t="shared" si="3"/>
        <v>70</v>
      </c>
      <c r="M37" s="310">
        <v>0</v>
      </c>
      <c r="N37" s="232">
        <v>41</v>
      </c>
      <c r="O37" s="232">
        <f>+(M37*D37*C37)+(C37*N37)</f>
        <v>143500</v>
      </c>
      <c r="P37" s="233">
        <f t="shared" si="4"/>
        <v>101500</v>
      </c>
      <c r="Q37" s="234">
        <f t="shared" si="5"/>
        <v>245000</v>
      </c>
      <c r="R37" s="234">
        <f t="shared" si="6"/>
        <v>245000</v>
      </c>
      <c r="T37" s="324"/>
      <c r="U37" s="324"/>
      <c r="V37" s="324"/>
    </row>
    <row r="38" spans="1:22" s="1" customFormat="1" ht="23.1" customHeight="1" x14ac:dyDescent="0.3">
      <c r="A38" s="279" t="s">
        <v>46</v>
      </c>
      <c r="B38" s="290" t="s">
        <v>232</v>
      </c>
      <c r="C38" s="291">
        <v>3100</v>
      </c>
      <c r="D38" s="291">
        <v>10</v>
      </c>
      <c r="E38" s="291">
        <v>6</v>
      </c>
      <c r="F38" s="292">
        <f t="shared" si="1"/>
        <v>186000</v>
      </c>
      <c r="G38" s="241">
        <v>3100</v>
      </c>
      <c r="H38" s="10">
        <v>10</v>
      </c>
      <c r="I38" s="10">
        <v>0</v>
      </c>
      <c r="J38" s="242">
        <f t="shared" si="2"/>
        <v>0</v>
      </c>
      <c r="K38" s="255">
        <f t="shared" si="7"/>
        <v>6</v>
      </c>
      <c r="L38" s="256">
        <f t="shared" si="3"/>
        <v>60</v>
      </c>
      <c r="M38" s="310">
        <v>0</v>
      </c>
      <c r="N38" s="232">
        <v>28</v>
      </c>
      <c r="O38" s="232">
        <f>+(M38*D38*C38)+(C38*N38)</f>
        <v>86800</v>
      </c>
      <c r="P38" s="233">
        <f t="shared" si="4"/>
        <v>99200</v>
      </c>
      <c r="Q38" s="234">
        <f t="shared" si="5"/>
        <v>186000</v>
      </c>
      <c r="R38" s="234">
        <f t="shared" si="6"/>
        <v>186000</v>
      </c>
      <c r="T38" s="324"/>
      <c r="U38" s="324"/>
      <c r="V38" s="324"/>
    </row>
    <row r="39" spans="1:22" s="1" customFormat="1" ht="23.1" customHeight="1" x14ac:dyDescent="0.3">
      <c r="A39" s="279" t="s">
        <v>46</v>
      </c>
      <c r="B39" s="290" t="s">
        <v>231</v>
      </c>
      <c r="C39" s="291">
        <v>2600</v>
      </c>
      <c r="D39" s="291">
        <v>10</v>
      </c>
      <c r="E39" s="231">
        <v>6</v>
      </c>
      <c r="F39" s="292">
        <f t="shared" si="1"/>
        <v>156000</v>
      </c>
      <c r="G39" s="241">
        <v>2600</v>
      </c>
      <c r="H39" s="10">
        <v>10</v>
      </c>
      <c r="I39" s="10">
        <v>0</v>
      </c>
      <c r="J39" s="242">
        <f t="shared" si="2"/>
        <v>0</v>
      </c>
      <c r="K39" s="255">
        <f t="shared" si="7"/>
        <v>6</v>
      </c>
      <c r="L39" s="256">
        <f t="shared" si="3"/>
        <v>60</v>
      </c>
      <c r="M39" s="286">
        <v>0</v>
      </c>
      <c r="N39" s="287">
        <v>0</v>
      </c>
      <c r="O39" s="287">
        <f>+(M39*D39*C39)+(C39*N39)</f>
        <v>0</v>
      </c>
      <c r="P39" s="233">
        <f t="shared" si="4"/>
        <v>156000</v>
      </c>
      <c r="Q39" s="234">
        <f t="shared" si="5"/>
        <v>156000</v>
      </c>
      <c r="R39" s="234">
        <f t="shared" si="6"/>
        <v>156000</v>
      </c>
      <c r="T39" s="324"/>
      <c r="U39" s="324"/>
      <c r="V39" s="324"/>
    </row>
    <row r="40" spans="1:22" s="1" customFormat="1" ht="23.1" customHeight="1" x14ac:dyDescent="0.3">
      <c r="A40" s="279"/>
      <c r="B40" s="290" t="s">
        <v>234</v>
      </c>
      <c r="C40" s="291">
        <v>1700</v>
      </c>
      <c r="D40" s="291">
        <v>10</v>
      </c>
      <c r="E40" s="291">
        <v>2</v>
      </c>
      <c r="F40" s="292">
        <f t="shared" ref="F40" si="21">+E40*D40*C40</f>
        <v>34000</v>
      </c>
      <c r="G40" s="241">
        <v>0</v>
      </c>
      <c r="H40" s="10">
        <v>10</v>
      </c>
      <c r="I40" s="10">
        <v>0</v>
      </c>
      <c r="J40" s="242">
        <f t="shared" si="2"/>
        <v>0</v>
      </c>
      <c r="K40" s="255">
        <f t="shared" si="7"/>
        <v>2</v>
      </c>
      <c r="L40" s="256">
        <f t="shared" si="3"/>
        <v>20</v>
      </c>
      <c r="M40" s="310">
        <v>0</v>
      </c>
      <c r="N40" s="232">
        <v>3</v>
      </c>
      <c r="O40" s="232">
        <f t="shared" ref="O40" si="22">+(M40*D40*C40)+(C40*N40)</f>
        <v>5100</v>
      </c>
      <c r="P40" s="233">
        <f t="shared" si="4"/>
        <v>28900</v>
      </c>
      <c r="Q40" s="234">
        <f t="shared" si="5"/>
        <v>34000</v>
      </c>
      <c r="R40" s="234">
        <f t="shared" si="6"/>
        <v>34000</v>
      </c>
      <c r="T40" s="324"/>
      <c r="U40" s="324"/>
      <c r="V40" s="324"/>
    </row>
    <row r="41" spans="1:22" s="1" customFormat="1" ht="23.1" customHeight="1" x14ac:dyDescent="0.3">
      <c r="A41" s="279"/>
      <c r="B41" s="290" t="s">
        <v>235</v>
      </c>
      <c r="C41" s="291">
        <v>1700</v>
      </c>
      <c r="D41" s="291">
        <v>10</v>
      </c>
      <c r="E41" s="291">
        <v>2</v>
      </c>
      <c r="F41" s="292">
        <f t="shared" ref="F41" si="23">+E41*D41*C41</f>
        <v>34000</v>
      </c>
      <c r="G41" s="241">
        <v>0</v>
      </c>
      <c r="H41" s="10">
        <v>10</v>
      </c>
      <c r="I41" s="10">
        <v>0</v>
      </c>
      <c r="J41" s="242">
        <f t="shared" si="2"/>
        <v>0</v>
      </c>
      <c r="K41" s="255">
        <f t="shared" si="7"/>
        <v>2</v>
      </c>
      <c r="L41" s="256">
        <f t="shared" si="3"/>
        <v>20</v>
      </c>
      <c r="M41" s="310">
        <v>0</v>
      </c>
      <c r="N41" s="232">
        <v>14</v>
      </c>
      <c r="O41" s="232">
        <f t="shared" ref="O41" si="24">+(M41*D41*C41)+(C41*N41)</f>
        <v>23800</v>
      </c>
      <c r="P41" s="233">
        <f t="shared" si="4"/>
        <v>10200</v>
      </c>
      <c r="Q41" s="234">
        <f t="shared" si="5"/>
        <v>34000</v>
      </c>
      <c r="R41" s="234">
        <f t="shared" si="6"/>
        <v>34000</v>
      </c>
      <c r="T41" s="324"/>
      <c r="U41" s="324"/>
      <c r="V41" s="324"/>
    </row>
    <row r="42" spans="1:22" s="1" customFormat="1" ht="23.1" customHeight="1" x14ac:dyDescent="0.3">
      <c r="A42" s="279" t="s">
        <v>46</v>
      </c>
      <c r="B42" s="290" t="s">
        <v>236</v>
      </c>
      <c r="C42" s="291">
        <v>1900</v>
      </c>
      <c r="D42" s="291">
        <v>10</v>
      </c>
      <c r="E42" s="291">
        <v>2</v>
      </c>
      <c r="F42" s="292">
        <f t="shared" si="1"/>
        <v>38000</v>
      </c>
      <c r="G42" s="241">
        <v>0</v>
      </c>
      <c r="H42" s="10">
        <v>10</v>
      </c>
      <c r="I42" s="10">
        <v>0</v>
      </c>
      <c r="J42" s="242">
        <f t="shared" si="2"/>
        <v>0</v>
      </c>
      <c r="K42" s="255">
        <f t="shared" si="7"/>
        <v>2</v>
      </c>
      <c r="L42" s="256">
        <f t="shared" si="3"/>
        <v>20</v>
      </c>
      <c r="M42" s="310">
        <v>0</v>
      </c>
      <c r="N42" s="232">
        <v>30</v>
      </c>
      <c r="O42" s="232">
        <f>+(M42*D42*C42)+(C42*N42)</f>
        <v>57000</v>
      </c>
      <c r="P42" s="233">
        <v>31460</v>
      </c>
      <c r="Q42" s="234">
        <f t="shared" si="5"/>
        <v>88460</v>
      </c>
      <c r="R42" s="234">
        <f t="shared" si="6"/>
        <v>38000</v>
      </c>
      <c r="T42" s="324"/>
      <c r="U42" s="324"/>
      <c r="V42" s="324"/>
    </row>
    <row r="43" spans="1:22" ht="23.1" customHeight="1" x14ac:dyDescent="0.3">
      <c r="A43" s="279" t="s">
        <v>46</v>
      </c>
      <c r="B43" s="290" t="s">
        <v>29</v>
      </c>
      <c r="C43" s="291">
        <v>2700</v>
      </c>
      <c r="D43" s="291">
        <v>12</v>
      </c>
      <c r="E43" s="291">
        <v>3</v>
      </c>
      <c r="F43" s="292">
        <f t="shared" si="1"/>
        <v>97200</v>
      </c>
      <c r="G43" s="241">
        <v>2700</v>
      </c>
      <c r="H43" s="10">
        <v>24</v>
      </c>
      <c r="I43" s="10">
        <v>0</v>
      </c>
      <c r="J43" s="242">
        <f t="shared" si="2"/>
        <v>0</v>
      </c>
      <c r="K43" s="255">
        <f t="shared" si="7"/>
        <v>3</v>
      </c>
      <c r="L43" s="256">
        <f t="shared" si="3"/>
        <v>36</v>
      </c>
      <c r="M43" s="313">
        <v>2</v>
      </c>
      <c r="N43" s="314">
        <v>8</v>
      </c>
      <c r="O43" s="232">
        <f>+(M43*D43*C43)+(C43*N43)</f>
        <v>86400</v>
      </c>
      <c r="P43" s="233">
        <f t="shared" si="4"/>
        <v>10800</v>
      </c>
      <c r="Q43" s="234">
        <f t="shared" si="5"/>
        <v>97200</v>
      </c>
      <c r="R43" s="234">
        <f t="shared" si="6"/>
        <v>97200</v>
      </c>
    </row>
    <row r="44" spans="1:22" ht="23.1" customHeight="1" x14ac:dyDescent="0.3">
      <c r="A44" s="279"/>
      <c r="B44" s="303" t="s">
        <v>30</v>
      </c>
      <c r="C44" s="304">
        <v>1700</v>
      </c>
      <c r="D44" s="304">
        <v>12</v>
      </c>
      <c r="E44" s="291">
        <f>30+20</f>
        <v>50</v>
      </c>
      <c r="F44" s="292">
        <f t="shared" si="1"/>
        <v>1020000</v>
      </c>
      <c r="G44" s="309">
        <v>1700</v>
      </c>
      <c r="H44" s="304">
        <v>12</v>
      </c>
      <c r="I44" s="291">
        <v>10</v>
      </c>
      <c r="J44" s="294">
        <f t="shared" si="2"/>
        <v>204000</v>
      </c>
      <c r="K44" s="255">
        <f t="shared" si="7"/>
        <v>60</v>
      </c>
      <c r="L44" s="256">
        <f t="shared" si="3"/>
        <v>720</v>
      </c>
      <c r="M44" s="313">
        <v>18</v>
      </c>
      <c r="N44" s="314">
        <v>2</v>
      </c>
      <c r="O44" s="232">
        <f>+(M44*D44*C44)+(C44*N44)</f>
        <v>370600</v>
      </c>
      <c r="P44" s="233">
        <f t="shared" si="4"/>
        <v>853400</v>
      </c>
      <c r="Q44" s="234">
        <f t="shared" si="5"/>
        <v>1224000</v>
      </c>
      <c r="R44" s="234">
        <f t="shared" si="6"/>
        <v>1224000</v>
      </c>
    </row>
    <row r="45" spans="1:22" ht="23.1" customHeight="1" x14ac:dyDescent="0.3">
      <c r="A45" s="279"/>
      <c r="B45" s="303" t="s">
        <v>219</v>
      </c>
      <c r="C45" s="304">
        <v>3500</v>
      </c>
      <c r="D45" s="304">
        <v>12</v>
      </c>
      <c r="E45" s="291">
        <v>4</v>
      </c>
      <c r="F45" s="292">
        <f t="shared" si="1"/>
        <v>168000</v>
      </c>
      <c r="G45" s="309">
        <v>3500</v>
      </c>
      <c r="H45" s="304">
        <v>12</v>
      </c>
      <c r="I45" s="291">
        <v>3</v>
      </c>
      <c r="J45" s="294">
        <f t="shared" si="2"/>
        <v>126000</v>
      </c>
      <c r="K45" s="255">
        <f t="shared" si="7"/>
        <v>7</v>
      </c>
      <c r="L45" s="256">
        <f t="shared" si="3"/>
        <v>84</v>
      </c>
      <c r="M45" s="313">
        <v>3</v>
      </c>
      <c r="N45" s="314">
        <v>8</v>
      </c>
      <c r="O45" s="232">
        <f t="shared" ref="O45" si="25">+(M45*D45*C45)+(C45*N45)</f>
        <v>154000</v>
      </c>
      <c r="P45" s="233">
        <f t="shared" si="4"/>
        <v>140000</v>
      </c>
      <c r="Q45" s="234">
        <f t="shared" si="5"/>
        <v>294000</v>
      </c>
      <c r="R45" s="234">
        <f t="shared" si="6"/>
        <v>294000</v>
      </c>
    </row>
    <row r="46" spans="1:22" ht="23.1" customHeight="1" x14ac:dyDescent="0.3">
      <c r="A46" s="279"/>
      <c r="B46" s="303" t="s">
        <v>227</v>
      </c>
      <c r="C46" s="304">
        <v>2000</v>
      </c>
      <c r="D46" s="304">
        <v>12</v>
      </c>
      <c r="E46" s="291">
        <f>10+5</f>
        <v>15</v>
      </c>
      <c r="F46" s="292">
        <f t="shared" si="1"/>
        <v>360000</v>
      </c>
      <c r="G46" s="309">
        <v>2000</v>
      </c>
      <c r="H46" s="304">
        <v>12</v>
      </c>
      <c r="I46" s="291">
        <v>10</v>
      </c>
      <c r="J46" s="294">
        <f t="shared" si="2"/>
        <v>240000</v>
      </c>
      <c r="K46" s="255">
        <f t="shared" si="7"/>
        <v>25</v>
      </c>
      <c r="L46" s="256">
        <f t="shared" si="3"/>
        <v>300</v>
      </c>
      <c r="M46" s="313">
        <v>9</v>
      </c>
      <c r="N46" s="314">
        <v>2</v>
      </c>
      <c r="O46" s="232">
        <f t="shared" ref="O46" si="26">+(M46*D46*C46)+(C46*N46)</f>
        <v>220000</v>
      </c>
      <c r="P46" s="233">
        <f t="shared" si="4"/>
        <v>380000</v>
      </c>
      <c r="Q46" s="234">
        <f t="shared" si="5"/>
        <v>600000</v>
      </c>
      <c r="R46" s="234">
        <f t="shared" si="6"/>
        <v>600000</v>
      </c>
    </row>
    <row r="47" spans="1:22" ht="23.1" customHeight="1" x14ac:dyDescent="0.3">
      <c r="A47" s="279"/>
      <c r="B47" s="303" t="s">
        <v>228</v>
      </c>
      <c r="C47" s="304">
        <v>2000</v>
      </c>
      <c r="D47" s="304">
        <v>12</v>
      </c>
      <c r="E47" s="291">
        <v>5</v>
      </c>
      <c r="F47" s="292">
        <f t="shared" si="1"/>
        <v>120000</v>
      </c>
      <c r="G47" s="243">
        <v>2000</v>
      </c>
      <c r="H47" s="73">
        <v>12</v>
      </c>
      <c r="I47" s="10">
        <v>0</v>
      </c>
      <c r="J47" s="242">
        <f t="shared" si="2"/>
        <v>0</v>
      </c>
      <c r="K47" s="255">
        <f t="shared" si="7"/>
        <v>5</v>
      </c>
      <c r="L47" s="256">
        <f t="shared" si="3"/>
        <v>60</v>
      </c>
      <c r="M47" s="313">
        <v>3</v>
      </c>
      <c r="N47" s="314">
        <v>0</v>
      </c>
      <c r="O47" s="232">
        <f t="shared" ref="O47" si="27">+(M47*D47*C47)+(C47*N47)</f>
        <v>72000</v>
      </c>
      <c r="P47" s="233">
        <f t="shared" si="4"/>
        <v>48000</v>
      </c>
      <c r="Q47" s="234">
        <f t="shared" si="5"/>
        <v>120000</v>
      </c>
      <c r="R47" s="234">
        <f t="shared" si="6"/>
        <v>120000</v>
      </c>
    </row>
    <row r="48" spans="1:22" s="128" customFormat="1" ht="23.1" customHeight="1" x14ac:dyDescent="0.3">
      <c r="A48" s="279"/>
      <c r="B48" s="303" t="s">
        <v>225</v>
      </c>
      <c r="C48" s="304">
        <v>600</v>
      </c>
      <c r="D48" s="304">
        <v>24</v>
      </c>
      <c r="E48" s="291">
        <v>10</v>
      </c>
      <c r="F48" s="292">
        <f t="shared" si="1"/>
        <v>144000</v>
      </c>
      <c r="G48" s="309">
        <v>600</v>
      </c>
      <c r="H48" s="304">
        <v>24</v>
      </c>
      <c r="I48" s="291">
        <v>5</v>
      </c>
      <c r="J48" s="294">
        <f t="shared" si="2"/>
        <v>72000</v>
      </c>
      <c r="K48" s="255">
        <f t="shared" si="7"/>
        <v>15</v>
      </c>
      <c r="L48" s="256">
        <f t="shared" si="3"/>
        <v>360</v>
      </c>
      <c r="M48" s="313">
        <v>5</v>
      </c>
      <c r="N48" s="314">
        <v>16</v>
      </c>
      <c r="O48" s="232">
        <f>+(M48*D48*C48)+(C48*N48)</f>
        <v>81600</v>
      </c>
      <c r="P48" s="233">
        <f t="shared" si="4"/>
        <v>134400</v>
      </c>
      <c r="Q48" s="234">
        <f t="shared" si="5"/>
        <v>216000</v>
      </c>
      <c r="R48" s="234">
        <f t="shared" si="6"/>
        <v>216000</v>
      </c>
      <c r="T48" s="71"/>
      <c r="U48" s="71"/>
      <c r="V48" s="71"/>
    </row>
    <row r="49" spans="1:22" s="128" customFormat="1" ht="23.1" customHeight="1" thickBot="1" x14ac:dyDescent="0.35">
      <c r="A49" s="279" t="s">
        <v>46</v>
      </c>
      <c r="B49" s="301" t="s">
        <v>17</v>
      </c>
      <c r="C49" s="302">
        <v>600</v>
      </c>
      <c r="D49" s="302">
        <v>24</v>
      </c>
      <c r="E49" s="291">
        <f>15+10</f>
        <v>25</v>
      </c>
      <c r="F49" s="292">
        <f t="shared" si="1"/>
        <v>360000</v>
      </c>
      <c r="G49" s="244">
        <v>600</v>
      </c>
      <c r="H49" s="245">
        <v>24</v>
      </c>
      <c r="I49" s="245">
        <v>0</v>
      </c>
      <c r="J49" s="246">
        <f t="shared" si="2"/>
        <v>0</v>
      </c>
      <c r="K49" s="257">
        <f>+I49+E49</f>
        <v>25</v>
      </c>
      <c r="L49" s="258">
        <f t="shared" si="3"/>
        <v>600</v>
      </c>
      <c r="M49" s="315">
        <v>5</v>
      </c>
      <c r="N49" s="316">
        <v>20</v>
      </c>
      <c r="O49" s="232">
        <f>+(M49*D49*C49)+(C49*N49)</f>
        <v>84000</v>
      </c>
      <c r="P49" s="233">
        <f t="shared" si="4"/>
        <v>276000</v>
      </c>
      <c r="Q49" s="234">
        <f t="shared" si="5"/>
        <v>360000</v>
      </c>
      <c r="R49" s="234">
        <f t="shared" si="6"/>
        <v>360000</v>
      </c>
      <c r="T49" s="71"/>
      <c r="U49" s="71"/>
      <c r="V49" s="71"/>
    </row>
    <row r="50" spans="1:22" s="128" customFormat="1" x14ac:dyDescent="0.25">
      <c r="A50" s="3" t="s">
        <v>46</v>
      </c>
      <c r="B50" s="2"/>
      <c r="C50"/>
      <c r="D50"/>
      <c r="E50"/>
      <c r="F50"/>
      <c r="G50"/>
      <c r="H50"/>
      <c r="I50"/>
      <c r="J50"/>
      <c r="K50" s="251"/>
      <c r="L50" s="251"/>
      <c r="M50" s="173"/>
      <c r="N50" s="173"/>
      <c r="O50" s="173"/>
      <c r="P50"/>
      <c r="T50" s="71"/>
      <c r="U50" s="71"/>
      <c r="V50" s="71"/>
    </row>
    <row r="51" spans="1:22" s="128" customFormat="1" x14ac:dyDescent="0.25">
      <c r="A51" s="3" t="s">
        <v>46</v>
      </c>
      <c r="B51" s="2"/>
      <c r="C51"/>
      <c r="D51"/>
      <c r="E51"/>
      <c r="F51" s="71">
        <f>SUM(F5:F50)</f>
        <v>11005680</v>
      </c>
      <c r="G51"/>
      <c r="H51"/>
      <c r="I51"/>
      <c r="J51" s="71">
        <f>SUM(J5:J50)</f>
        <v>1993320</v>
      </c>
      <c r="K51" s="248"/>
      <c r="L51" s="248"/>
      <c r="M51" s="173"/>
      <c r="N51" s="173"/>
      <c r="O51" s="173"/>
      <c r="P51" s="71">
        <f>SUM(P5:P49)</f>
        <v>7725900</v>
      </c>
      <c r="Q51" s="128" t="s">
        <v>46</v>
      </c>
      <c r="T51" s="71"/>
      <c r="U51" s="71"/>
      <c r="V51" s="71"/>
    </row>
    <row r="52" spans="1:22" x14ac:dyDescent="0.25">
      <c r="K52" s="251" t="s">
        <v>46</v>
      </c>
      <c r="P52" t="s">
        <v>46</v>
      </c>
      <c r="Q52" t="s">
        <v>46</v>
      </c>
    </row>
    <row r="53" spans="1:22" s="128" customFormat="1" x14ac:dyDescent="0.25">
      <c r="A53" s="3"/>
      <c r="B53" s="2"/>
      <c r="C53"/>
      <c r="D53"/>
      <c r="E53"/>
      <c r="F53"/>
      <c r="G53"/>
      <c r="H53"/>
      <c r="I53"/>
      <c r="J53"/>
      <c r="K53" s="251"/>
      <c r="L53" s="251"/>
      <c r="M53" s="173"/>
      <c r="N53" s="173"/>
      <c r="O53" s="173"/>
      <c r="P53" s="206" t="s">
        <v>46</v>
      </c>
      <c r="T53" s="71"/>
      <c r="U53" s="71"/>
      <c r="V53" s="71"/>
    </row>
    <row r="54" spans="1:22" s="128" customFormat="1" x14ac:dyDescent="0.25">
      <c r="A54" s="3"/>
      <c r="B54" s="375" t="s">
        <v>242</v>
      </c>
      <c r="C54" s="367"/>
      <c r="D54" s="367"/>
      <c r="E54" s="367"/>
      <c r="F54" s="112">
        <v>230000</v>
      </c>
      <c r="G54" s="116"/>
      <c r="H54" s="116"/>
      <c r="I54" s="116"/>
      <c r="J54" s="116"/>
      <c r="K54" s="252"/>
      <c r="L54" s="362" t="s">
        <v>243</v>
      </c>
      <c r="M54" s="358"/>
      <c r="N54" s="281">
        <v>13231900</v>
      </c>
      <c r="O54" s="281">
        <f>+N54-P51</f>
        <v>5506000</v>
      </c>
      <c r="P54" s="38" t="s">
        <v>46</v>
      </c>
      <c r="Q54" s="128" t="s">
        <v>46</v>
      </c>
      <c r="T54" s="71"/>
      <c r="U54" s="71"/>
      <c r="V54" s="71"/>
    </row>
    <row r="55" spans="1:22" s="128" customFormat="1" x14ac:dyDescent="0.25">
      <c r="A55" s="3"/>
      <c r="B55" s="363" t="s">
        <v>246</v>
      </c>
      <c r="C55" s="364"/>
      <c r="D55" s="364"/>
      <c r="E55" s="364"/>
      <c r="F55" s="113">
        <v>28047</v>
      </c>
      <c r="G55" s="116"/>
      <c r="H55" s="116"/>
      <c r="I55" s="116"/>
      <c r="J55" s="116"/>
      <c r="K55" s="252"/>
      <c r="L55" s="362" t="s">
        <v>244</v>
      </c>
      <c r="M55" s="358"/>
      <c r="N55" s="281">
        <v>1000000</v>
      </c>
      <c r="O55" s="281">
        <f>+N55</f>
        <v>1000000</v>
      </c>
      <c r="P55" s="38" t="s">
        <v>46</v>
      </c>
      <c r="T55" s="71"/>
      <c r="U55" s="71"/>
      <c r="V55" s="71"/>
    </row>
    <row r="56" spans="1:22" s="128" customFormat="1" x14ac:dyDescent="0.25">
      <c r="A56" s="3"/>
      <c r="B56" s="363" t="s">
        <v>249</v>
      </c>
      <c r="C56" s="364"/>
      <c r="D56" s="364"/>
      <c r="E56" s="364"/>
      <c r="F56" s="113">
        <f>90*1500</f>
        <v>135000</v>
      </c>
      <c r="G56" s="116"/>
      <c r="H56" s="116"/>
      <c r="I56" s="116"/>
      <c r="J56" s="116"/>
      <c r="K56" s="252"/>
      <c r="L56" s="362" t="s">
        <v>245</v>
      </c>
      <c r="M56" s="358"/>
      <c r="N56" s="281">
        <v>230000</v>
      </c>
      <c r="O56" s="173">
        <v>0</v>
      </c>
      <c r="P56" s="38" t="s">
        <v>46</v>
      </c>
      <c r="T56" s="71"/>
      <c r="U56" s="71"/>
      <c r="V56" s="71"/>
    </row>
    <row r="57" spans="1:22" s="128" customFormat="1" x14ac:dyDescent="0.25">
      <c r="A57" s="3"/>
      <c r="B57" s="363" t="s">
        <v>248</v>
      </c>
      <c r="C57" s="364"/>
      <c r="D57" s="364"/>
      <c r="E57" s="364"/>
      <c r="F57" s="113">
        <v>9900</v>
      </c>
      <c r="G57" s="116" t="s">
        <v>46</v>
      </c>
      <c r="H57" s="116"/>
      <c r="I57" s="116"/>
      <c r="J57" s="116" t="s">
        <v>46</v>
      </c>
      <c r="K57" s="252"/>
      <c r="L57" s="362" t="s">
        <v>247</v>
      </c>
      <c r="M57" s="358"/>
      <c r="N57" s="281">
        <v>28047</v>
      </c>
      <c r="O57" s="173">
        <v>0</v>
      </c>
      <c r="P57" s="38" t="s">
        <v>46</v>
      </c>
      <c r="T57" s="71"/>
      <c r="U57" s="71"/>
      <c r="V57" s="71"/>
    </row>
    <row r="58" spans="1:22" s="128" customFormat="1" x14ac:dyDescent="0.25">
      <c r="A58" s="3"/>
      <c r="B58" s="363" t="s">
        <v>259</v>
      </c>
      <c r="C58" s="364"/>
      <c r="D58" s="364"/>
      <c r="E58" s="364"/>
      <c r="F58" s="113">
        <v>5890</v>
      </c>
      <c r="G58" s="116"/>
      <c r="H58" s="116"/>
      <c r="I58" s="116"/>
      <c r="J58" s="116"/>
      <c r="K58" s="252"/>
      <c r="L58" s="362" t="s">
        <v>259</v>
      </c>
      <c r="M58" s="358"/>
      <c r="N58" s="281">
        <v>5890</v>
      </c>
      <c r="O58" s="173">
        <v>0</v>
      </c>
      <c r="P58" s="38" t="s">
        <v>46</v>
      </c>
      <c r="T58" s="71"/>
      <c r="U58" s="71"/>
      <c r="V58" s="71"/>
    </row>
    <row r="59" spans="1:22" s="128" customFormat="1" x14ac:dyDescent="0.25">
      <c r="A59" s="3"/>
      <c r="B59" s="363" t="s">
        <v>46</v>
      </c>
      <c r="C59" s="364"/>
      <c r="D59" s="364"/>
      <c r="E59" s="364"/>
      <c r="F59" s="113">
        <v>0</v>
      </c>
      <c r="G59" s="116"/>
      <c r="H59" s="116"/>
      <c r="I59" s="116"/>
      <c r="J59" s="116"/>
      <c r="K59" s="252"/>
      <c r="L59" s="362" t="s">
        <v>260</v>
      </c>
      <c r="M59" s="358"/>
      <c r="N59" s="281">
        <v>9500</v>
      </c>
      <c r="O59" s="173">
        <v>0</v>
      </c>
      <c r="P59" s="38" t="s">
        <v>46</v>
      </c>
      <c r="T59" s="71"/>
      <c r="U59" s="71"/>
      <c r="V59" s="71"/>
    </row>
    <row r="60" spans="1:22" s="128" customFormat="1" x14ac:dyDescent="0.25">
      <c r="A60" s="3"/>
      <c r="B60" s="365" t="s">
        <v>46</v>
      </c>
      <c r="C60" s="366"/>
      <c r="D60" s="366"/>
      <c r="E60" s="366"/>
      <c r="F60" s="114">
        <v>0</v>
      </c>
      <c r="G60" s="116"/>
      <c r="H60" s="116"/>
      <c r="I60" s="116"/>
      <c r="J60" s="116"/>
      <c r="K60" s="252"/>
      <c r="L60" s="252"/>
      <c r="M60" s="173"/>
      <c r="N60" s="281">
        <v>63</v>
      </c>
      <c r="O60" s="173">
        <v>0</v>
      </c>
      <c r="P60" s="38" t="s">
        <v>46</v>
      </c>
      <c r="T60" s="71"/>
      <c r="U60" s="71"/>
      <c r="V60" s="71"/>
    </row>
    <row r="61" spans="1:22" s="128" customFormat="1" x14ac:dyDescent="0.25">
      <c r="A61" s="3"/>
      <c r="B61" s="98"/>
      <c r="C61" s="207"/>
      <c r="D61" s="207"/>
      <c r="E61" s="207"/>
      <c r="F61" s="71">
        <f>SUM(F54:F60)</f>
        <v>408837</v>
      </c>
      <c r="G61" s="224"/>
      <c r="H61" s="224"/>
      <c r="I61" s="224"/>
      <c r="J61" s="116"/>
      <c r="K61" s="248"/>
      <c r="L61" s="248"/>
      <c r="M61" s="173"/>
      <c r="N61" s="281">
        <f>SUM(N54:N60)</f>
        <v>14505400</v>
      </c>
      <c r="O61" s="281">
        <f>SUM(O54:O60)</f>
        <v>6506000</v>
      </c>
      <c r="P61" s="38" t="s">
        <v>46</v>
      </c>
      <c r="Q61" s="128" t="s">
        <v>46</v>
      </c>
      <c r="T61" s="71"/>
      <c r="U61" s="71"/>
      <c r="V61" s="71"/>
    </row>
    <row r="62" spans="1:22" s="128" customFormat="1" x14ac:dyDescent="0.25">
      <c r="A62" s="3"/>
      <c r="B62" s="367" t="s">
        <v>146</v>
      </c>
      <c r="C62" s="367"/>
      <c r="D62" s="367"/>
      <c r="E62" s="367"/>
      <c r="F62" s="112">
        <v>21000</v>
      </c>
      <c r="G62" s="116"/>
      <c r="H62" s="116"/>
      <c r="I62" s="116"/>
      <c r="J62" s="116"/>
      <c r="K62" s="252"/>
      <c r="L62" s="252"/>
      <c r="M62" s="173"/>
      <c r="N62" s="173"/>
      <c r="O62" s="173"/>
      <c r="P62" s="38" t="s">
        <v>46</v>
      </c>
      <c r="T62" s="71"/>
      <c r="U62" s="71"/>
      <c r="V62" s="71"/>
    </row>
    <row r="63" spans="1:22" s="128" customFormat="1" x14ac:dyDescent="0.25">
      <c r="A63" s="3"/>
      <c r="B63" s="364" t="s">
        <v>261</v>
      </c>
      <c r="C63" s="364"/>
      <c r="D63" s="364"/>
      <c r="E63" s="364"/>
      <c r="F63" s="113">
        <v>123500</v>
      </c>
      <c r="G63" s="116"/>
      <c r="H63" s="116"/>
      <c r="I63" s="116"/>
      <c r="J63" s="116"/>
      <c r="K63" s="252"/>
      <c r="L63" s="252"/>
      <c r="M63" s="173"/>
      <c r="N63" s="173"/>
      <c r="O63" s="173"/>
      <c r="P63" s="38" t="s">
        <v>46</v>
      </c>
      <c r="T63" s="71"/>
      <c r="U63" s="71"/>
      <c r="V63" s="71"/>
    </row>
    <row r="64" spans="1:22" s="128" customFormat="1" x14ac:dyDescent="0.25">
      <c r="A64" s="3"/>
      <c r="B64" s="366" t="s">
        <v>106</v>
      </c>
      <c r="C64" s="366"/>
      <c r="D64" s="366"/>
      <c r="E64" s="366"/>
      <c r="F64" s="114">
        <f>+P2</f>
        <v>7725900</v>
      </c>
      <c r="G64" s="116"/>
      <c r="H64" s="116"/>
      <c r="I64" s="116"/>
      <c r="J64" s="116"/>
      <c r="K64" s="252"/>
      <c r="L64" s="252"/>
      <c r="M64" s="173" t="s">
        <v>46</v>
      </c>
      <c r="N64" s="173"/>
      <c r="O64" s="173"/>
      <c r="P64" s="38" t="s">
        <v>46</v>
      </c>
      <c r="T64" s="71"/>
      <c r="U64" s="71"/>
      <c r="V64" s="71"/>
    </row>
    <row r="65" spans="1:22" s="128" customFormat="1" x14ac:dyDescent="0.25">
      <c r="A65" s="3"/>
      <c r="B65" s="115"/>
      <c r="C65" s="115"/>
      <c r="D65" s="115"/>
      <c r="E65" s="115"/>
      <c r="F65" s="116">
        <f>SUM(F62:F64)</f>
        <v>7870400</v>
      </c>
      <c r="G65" s="318" t="s">
        <v>46</v>
      </c>
      <c r="H65" s="115"/>
      <c r="I65" s="115"/>
      <c r="J65" s="116"/>
      <c r="K65" s="328"/>
      <c r="L65" s="252"/>
      <c r="M65" s="173" t="s">
        <v>46</v>
      </c>
      <c r="N65" s="173"/>
      <c r="O65" s="173"/>
      <c r="P65" s="38" t="s">
        <v>46</v>
      </c>
      <c r="T65" s="71"/>
      <c r="U65" s="71"/>
      <c r="V65" s="71"/>
    </row>
    <row r="66" spans="1:22" s="128" customFormat="1" x14ac:dyDescent="0.25">
      <c r="A66" s="3"/>
      <c r="B66" s="368" t="s">
        <v>133</v>
      </c>
      <c r="C66" s="368"/>
      <c r="D66" s="368"/>
      <c r="E66" s="368"/>
      <c r="F66" s="117">
        <f>'Horas Oct'!$H$36</f>
        <v>2056512.5</v>
      </c>
      <c r="G66" s="116"/>
      <c r="H66" s="116"/>
      <c r="I66" s="116"/>
      <c r="J66" s="116"/>
      <c r="K66" s="329"/>
      <c r="L66" s="252"/>
      <c r="M66" s="173" t="s">
        <v>46</v>
      </c>
      <c r="N66" s="173"/>
      <c r="O66" s="173"/>
      <c r="P66" s="38"/>
      <c r="T66" s="71"/>
      <c r="U66" s="71"/>
      <c r="V66" s="71"/>
    </row>
    <row r="67" spans="1:22" s="128" customFormat="1" ht="15.75" thickBot="1" x14ac:dyDescent="0.3">
      <c r="A67" s="3"/>
      <c r="B67" s="207"/>
      <c r="C67" s="207"/>
      <c r="D67" s="207"/>
      <c r="E67" s="207"/>
      <c r="F67" s="71">
        <f>SUM(F66)</f>
        <v>2056512.5</v>
      </c>
      <c r="G67" s="224"/>
      <c r="H67" s="224"/>
      <c r="I67" s="224"/>
      <c r="J67" s="116"/>
      <c r="K67" s="330"/>
      <c r="L67" s="248">
        <f>+F61+F65</f>
        <v>8279237</v>
      </c>
      <c r="M67" s="173" t="s">
        <v>46</v>
      </c>
      <c r="N67" s="173"/>
      <c r="O67" s="281"/>
      <c r="P67" s="38"/>
      <c r="T67" s="71"/>
      <c r="U67" s="71"/>
      <c r="V67" s="71"/>
    </row>
    <row r="68" spans="1:22" s="128" customFormat="1" ht="15.75" thickBot="1" x14ac:dyDescent="0.3">
      <c r="A68" s="3"/>
      <c r="B68" s="369" t="s">
        <v>105</v>
      </c>
      <c r="C68" s="370"/>
      <c r="D68" s="370"/>
      <c r="E68" s="370"/>
      <c r="F68" s="118">
        <f>+F61+F65+F67</f>
        <v>10335749.5</v>
      </c>
      <c r="G68" s="116"/>
      <c r="H68" s="116"/>
      <c r="I68" s="116"/>
      <c r="J68" s="116"/>
      <c r="K68" s="328"/>
      <c r="L68" s="252"/>
      <c r="M68" s="173" t="s">
        <v>46</v>
      </c>
      <c r="N68" s="173"/>
      <c r="O68" s="281"/>
      <c r="P68" s="38"/>
      <c r="T68" s="71"/>
      <c r="U68" s="71"/>
      <c r="V68" s="71"/>
    </row>
    <row r="69" spans="1:22" s="128" customFormat="1" x14ac:dyDescent="0.25">
      <c r="A69" s="3"/>
      <c r="B69" s="2"/>
      <c r="C69"/>
      <c r="D69"/>
      <c r="E69"/>
      <c r="F69" s="71"/>
      <c r="G69"/>
      <c r="H69"/>
      <c r="I69"/>
      <c r="J69" s="71"/>
      <c r="K69" s="330"/>
      <c r="L69" s="248"/>
      <c r="M69" s="173" t="s">
        <v>46</v>
      </c>
      <c r="N69" s="173"/>
      <c r="O69" s="281"/>
      <c r="P69" s="38"/>
      <c r="T69" s="71"/>
      <c r="U69" s="71"/>
      <c r="V69" s="71"/>
    </row>
    <row r="70" spans="1:22" s="128" customFormat="1" x14ac:dyDescent="0.25">
      <c r="A70" s="3"/>
      <c r="B70" s="2"/>
      <c r="C70"/>
      <c r="D70"/>
      <c r="E70"/>
      <c r="F70" s="71" t="s">
        <v>46</v>
      </c>
      <c r="G70"/>
      <c r="H70"/>
      <c r="I70"/>
      <c r="J70" s="71"/>
      <c r="K70" s="330"/>
      <c r="L70" s="248"/>
      <c r="M70" s="173" t="s">
        <v>46</v>
      </c>
      <c r="N70" s="173"/>
      <c r="O70" s="173"/>
      <c r="P70" s="38"/>
      <c r="T70" s="71"/>
      <c r="U70" s="71"/>
      <c r="V70" s="71"/>
    </row>
    <row r="71" spans="1:22" s="128" customFormat="1" x14ac:dyDescent="0.25">
      <c r="A71" s="3"/>
      <c r="B71" t="s">
        <v>46</v>
      </c>
      <c r="C71"/>
      <c r="D71"/>
      <c r="E71"/>
      <c r="F71" s="71" t="s">
        <v>46</v>
      </c>
      <c r="G71"/>
      <c r="H71"/>
      <c r="I71"/>
      <c r="J71" s="71"/>
      <c r="K71" s="330"/>
      <c r="L71" s="248"/>
      <c r="M71" s="173" t="s">
        <v>46</v>
      </c>
      <c r="N71" s="173"/>
      <c r="O71" s="173"/>
      <c r="P71" s="38"/>
      <c r="T71" s="71"/>
      <c r="U71" s="71"/>
      <c r="V71" s="71"/>
    </row>
    <row r="72" spans="1:22" s="128" customFormat="1" x14ac:dyDescent="0.25">
      <c r="A72" s="3"/>
      <c r="B72" t="s">
        <v>46</v>
      </c>
      <c r="C72"/>
      <c r="D72" s="358" t="s">
        <v>134</v>
      </c>
      <c r="E72" s="358"/>
      <c r="F72" s="358"/>
      <c r="G72" s="406">
        <f>+N61</f>
        <v>14505400</v>
      </c>
      <c r="H72" s="406"/>
      <c r="I72" s="220"/>
      <c r="J72" s="220"/>
      <c r="K72" s="331"/>
      <c r="L72" s="248" t="s">
        <v>46</v>
      </c>
      <c r="M72" s="359" t="s">
        <v>46</v>
      </c>
      <c r="N72" s="359"/>
      <c r="O72" s="173"/>
      <c r="P72" s="4"/>
      <c r="T72" s="71"/>
      <c r="U72" s="71"/>
      <c r="V72" s="71"/>
    </row>
    <row r="73" spans="1:22" s="128" customFormat="1" x14ac:dyDescent="0.25">
      <c r="A73" s="3"/>
      <c r="B73" t="s">
        <v>46</v>
      </c>
      <c r="C73"/>
      <c r="D73" s="358" t="s">
        <v>135</v>
      </c>
      <c r="E73" s="358"/>
      <c r="F73" s="358"/>
      <c r="G73" s="406">
        <f>+F65+F61</f>
        <v>8279237</v>
      </c>
      <c r="H73" s="406"/>
      <c r="I73" s="220"/>
      <c r="J73" s="220"/>
      <c r="K73" s="332"/>
      <c r="L73" s="248" t="s">
        <v>46</v>
      </c>
      <c r="M73" s="359" t="s">
        <v>46</v>
      </c>
      <c r="N73" s="359"/>
      <c r="O73" s="173"/>
      <c r="P73" s="4"/>
      <c r="T73" s="71"/>
      <c r="U73" s="71"/>
      <c r="V73" s="71"/>
    </row>
    <row r="74" spans="1:22" s="128" customFormat="1" x14ac:dyDescent="0.25">
      <c r="A74" s="3"/>
      <c r="B74" s="2"/>
      <c r="C74"/>
      <c r="D74" s="358" t="s">
        <v>141</v>
      </c>
      <c r="E74" s="358"/>
      <c r="F74" s="358"/>
      <c r="G74" s="406">
        <f>+G72-G73</f>
        <v>6226163</v>
      </c>
      <c r="H74" s="406"/>
      <c r="I74" s="220"/>
      <c r="J74" s="221" t="s">
        <v>46</v>
      </c>
      <c r="K74" s="331"/>
      <c r="L74" s="251"/>
      <c r="M74" s="359" t="s">
        <v>46</v>
      </c>
      <c r="N74" s="359"/>
      <c r="O74" s="281"/>
      <c r="P74" s="4"/>
      <c r="Q74" s="71"/>
      <c r="R74" s="71"/>
      <c r="S74" s="71"/>
      <c r="T74" s="71"/>
      <c r="U74" s="71"/>
      <c r="V74" s="71"/>
    </row>
    <row r="75" spans="1:22" s="128" customFormat="1" x14ac:dyDescent="0.25">
      <c r="A75" s="3"/>
      <c r="B75" s="2"/>
      <c r="C75" t="s">
        <v>46</v>
      </c>
      <c r="D75" s="360" t="s">
        <v>133</v>
      </c>
      <c r="E75" s="360"/>
      <c r="F75" s="360"/>
      <c r="G75" s="406">
        <f>+F67</f>
        <v>2056512.5</v>
      </c>
      <c r="H75" s="406"/>
      <c r="I75" s="222"/>
      <c r="J75" s="222"/>
      <c r="K75" s="328"/>
      <c r="L75" s="277" t="s">
        <v>46</v>
      </c>
      <c r="M75" s="359" t="s">
        <v>46</v>
      </c>
      <c r="N75" s="359"/>
      <c r="O75" s="281">
        <v>210676</v>
      </c>
      <c r="P75" s="327">
        <v>1156912</v>
      </c>
      <c r="Q75" s="71">
        <v>219813</v>
      </c>
      <c r="R75" s="71">
        <f>SUM(O75:Q75)</f>
        <v>1587401</v>
      </c>
      <c r="S75" s="71"/>
      <c r="T75" s="71"/>
      <c r="U75" s="71"/>
      <c r="V75" s="71"/>
    </row>
    <row r="76" spans="1:22" s="128" customFormat="1" x14ac:dyDescent="0.25">
      <c r="A76" s="3"/>
      <c r="B76" s="2"/>
      <c r="C76"/>
      <c r="D76" s="360" t="s">
        <v>142</v>
      </c>
      <c r="E76" s="360"/>
      <c r="F76" s="360"/>
      <c r="G76" s="406">
        <f>+G74-G75</f>
        <v>4169650.5</v>
      </c>
      <c r="H76" s="406"/>
      <c r="I76" s="222"/>
      <c r="J76" s="222"/>
      <c r="K76" s="328"/>
      <c r="L76" s="247"/>
      <c r="M76" s="281" t="s">
        <v>46</v>
      </c>
      <c r="N76" s="281" t="s">
        <v>46</v>
      </c>
      <c r="O76" s="281">
        <v>297324</v>
      </c>
      <c r="P76" s="327">
        <v>1517555</v>
      </c>
      <c r="Q76" s="71">
        <v>288335</v>
      </c>
      <c r="R76" s="71">
        <f t="shared" ref="R76:R79" si="28">SUM(O76:Q76)</f>
        <v>2103214</v>
      </c>
      <c r="S76" s="71"/>
      <c r="T76" s="71"/>
      <c r="U76" s="71"/>
      <c r="V76" s="71"/>
    </row>
    <row r="77" spans="1:22" s="128" customFormat="1" x14ac:dyDescent="0.25">
      <c r="A77" s="3"/>
      <c r="B77" s="2"/>
      <c r="C77"/>
      <c r="D77"/>
      <c r="E77"/>
      <c r="F77"/>
      <c r="G77" s="358" t="s">
        <v>46</v>
      </c>
      <c r="H77" s="358"/>
      <c r="I77"/>
      <c r="J77"/>
      <c r="K77" s="331"/>
      <c r="L77" s="251"/>
      <c r="M77" s="281" t="s">
        <v>46</v>
      </c>
      <c r="N77" s="281"/>
      <c r="O77" s="281">
        <v>104353</v>
      </c>
      <c r="P77" s="327">
        <v>398371</v>
      </c>
      <c r="Q77" s="71">
        <v>75690</v>
      </c>
      <c r="R77" s="71">
        <f t="shared" si="28"/>
        <v>578414</v>
      </c>
      <c r="S77" s="71"/>
      <c r="T77" s="71"/>
      <c r="U77" s="71"/>
      <c r="V77" s="71"/>
    </row>
    <row r="78" spans="1:22" s="128" customFormat="1" x14ac:dyDescent="0.25">
      <c r="A78" s="3"/>
      <c r="B78" s="2"/>
      <c r="C78"/>
      <c r="D78"/>
      <c r="E78"/>
      <c r="F78"/>
      <c r="G78" s="358" t="s">
        <v>46</v>
      </c>
      <c r="H78" s="358"/>
      <c r="I78"/>
      <c r="J78"/>
      <c r="K78" s="331"/>
      <c r="L78" s="251"/>
      <c r="M78" s="281"/>
      <c r="N78" s="281"/>
      <c r="O78" s="281">
        <v>110930</v>
      </c>
      <c r="P78" s="327">
        <v>352159</v>
      </c>
      <c r="Q78" s="71">
        <v>66910</v>
      </c>
      <c r="R78" s="71">
        <f t="shared" si="28"/>
        <v>529999</v>
      </c>
      <c r="S78" s="71"/>
      <c r="T78" s="71"/>
      <c r="U78" s="71"/>
      <c r="V78" s="71"/>
    </row>
    <row r="79" spans="1:22" s="128" customFormat="1" x14ac:dyDescent="0.25">
      <c r="A79" s="3"/>
      <c r="B79" s="2"/>
      <c r="C79"/>
      <c r="D79"/>
      <c r="E79"/>
      <c r="F79"/>
      <c r="G79" s="361" t="s">
        <v>46</v>
      </c>
      <c r="H79" s="358"/>
      <c r="I79"/>
      <c r="J79"/>
      <c r="K79" s="251"/>
      <c r="L79" s="251"/>
      <c r="M79" s="281"/>
      <c r="N79" s="281"/>
      <c r="O79" s="281"/>
      <c r="P79" s="327" t="s">
        <v>46</v>
      </c>
      <c r="Q79" s="71"/>
      <c r="R79" s="71">
        <f t="shared" si="28"/>
        <v>0</v>
      </c>
      <c r="S79" s="71"/>
      <c r="T79" s="71"/>
      <c r="U79" s="71"/>
      <c r="V79" s="71"/>
    </row>
    <row r="80" spans="1:22" x14ac:dyDescent="0.25">
      <c r="N80" s="281" t="s">
        <v>46</v>
      </c>
      <c r="O80" s="281">
        <f>SUM(O75:O79)</f>
        <v>723283</v>
      </c>
      <c r="P80" s="281">
        <f t="shared" ref="P80:R80" si="29">SUM(P75:P79)</f>
        <v>3424997</v>
      </c>
      <c r="Q80" s="281">
        <f t="shared" si="29"/>
        <v>650748</v>
      </c>
      <c r="R80" s="281">
        <f t="shared" si="29"/>
        <v>4799028</v>
      </c>
    </row>
    <row r="81" spans="16:16" x14ac:dyDescent="0.25">
      <c r="P81" s="205" t="s">
        <v>46</v>
      </c>
    </row>
    <row r="82" spans="16:16" x14ac:dyDescent="0.25">
      <c r="P82" s="205" t="s">
        <v>46</v>
      </c>
    </row>
    <row r="83" spans="16:16" x14ac:dyDescent="0.25">
      <c r="P83" s="71" t="s">
        <v>46</v>
      </c>
    </row>
  </sheetData>
  <mergeCells count="39">
    <mergeCell ref="G77:H77"/>
    <mergeCell ref="G78:H78"/>
    <mergeCell ref="G79:H79"/>
    <mergeCell ref="C3:F3"/>
    <mergeCell ref="M3:O3"/>
    <mergeCell ref="B54:E54"/>
    <mergeCell ref="B55:E55"/>
    <mergeCell ref="B56:E56"/>
    <mergeCell ref="G3:J3"/>
    <mergeCell ref="K3:L3"/>
    <mergeCell ref="L54:M54"/>
    <mergeCell ref="L55:M55"/>
    <mergeCell ref="L56:M56"/>
    <mergeCell ref="D73:F73"/>
    <mergeCell ref="M73:N73"/>
    <mergeCell ref="B57:E57"/>
    <mergeCell ref="G73:H73"/>
    <mergeCell ref="L57:M57"/>
    <mergeCell ref="L58:M58"/>
    <mergeCell ref="L59:M59"/>
    <mergeCell ref="B58:E58"/>
    <mergeCell ref="B59:E59"/>
    <mergeCell ref="B60:E60"/>
    <mergeCell ref="B62:E62"/>
    <mergeCell ref="B63:E63"/>
    <mergeCell ref="B64:E64"/>
    <mergeCell ref="B66:E66"/>
    <mergeCell ref="B68:E68"/>
    <mergeCell ref="D72:F72"/>
    <mergeCell ref="M72:N72"/>
    <mergeCell ref="G72:H72"/>
    <mergeCell ref="D74:F74"/>
    <mergeCell ref="M74:N74"/>
    <mergeCell ref="D75:F75"/>
    <mergeCell ref="M75:N75"/>
    <mergeCell ref="D76:F76"/>
    <mergeCell ref="G75:H75"/>
    <mergeCell ref="G74:H74"/>
    <mergeCell ref="G76:H76"/>
  </mergeCells>
  <pageMargins left="0.7" right="0.7" top="0.75" bottom="0.75" header="0.3" footer="0.3"/>
  <pageSetup paperSize="11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D3" sqref="D3"/>
    </sheetView>
  </sheetViews>
  <sheetFormatPr baseColWidth="10" defaultColWidth="11.5703125" defaultRowHeight="21" x14ac:dyDescent="0.35"/>
  <cols>
    <col min="1" max="1" width="4.85546875" style="3" customWidth="1"/>
    <col min="3" max="3" width="51.140625" style="35" customWidth="1"/>
    <col min="4" max="4" width="12.5703125" style="54" customWidth="1"/>
    <col min="6" max="6" width="11.42578125" customWidth="1"/>
  </cols>
  <sheetData>
    <row r="1" spans="1:4" s="5" customFormat="1" ht="21.75" thickBot="1" x14ac:dyDescent="0.4">
      <c r="A1" s="15"/>
      <c r="C1" s="36"/>
      <c r="D1" s="53"/>
    </row>
    <row r="2" spans="1:4" s="1" customFormat="1" ht="23.1" customHeight="1" x14ac:dyDescent="0.35">
      <c r="A2" s="3" t="s">
        <v>46</v>
      </c>
      <c r="B2" s="4"/>
      <c r="C2" s="43" t="s">
        <v>72</v>
      </c>
      <c r="D2" s="44">
        <v>1000</v>
      </c>
    </row>
    <row r="3" spans="1:4" s="1" customFormat="1" ht="23.1" customHeight="1" x14ac:dyDescent="0.35">
      <c r="A3" s="3" t="s">
        <v>46</v>
      </c>
      <c r="B3" s="4"/>
      <c r="C3" s="45" t="s">
        <v>74</v>
      </c>
      <c r="D3" s="46">
        <v>1000</v>
      </c>
    </row>
    <row r="4" spans="1:4" s="1" customFormat="1" ht="23.1" customHeight="1" x14ac:dyDescent="0.35">
      <c r="A4" s="3" t="s">
        <v>46</v>
      </c>
      <c r="B4" s="4"/>
      <c r="C4" s="45" t="s">
        <v>73</v>
      </c>
      <c r="D4" s="46">
        <v>1000</v>
      </c>
    </row>
    <row r="5" spans="1:4" s="1" customFormat="1" ht="23.1" customHeight="1" x14ac:dyDescent="0.35">
      <c r="A5" s="3" t="s">
        <v>46</v>
      </c>
      <c r="B5" s="4"/>
      <c r="C5" s="45" t="s">
        <v>17</v>
      </c>
      <c r="D5" s="46">
        <v>1000</v>
      </c>
    </row>
    <row r="6" spans="1:4" s="39" customFormat="1" ht="15" customHeight="1" x14ac:dyDescent="0.35">
      <c r="A6" s="37"/>
      <c r="B6" s="38"/>
      <c r="C6" s="47"/>
      <c r="D6" s="48"/>
    </row>
    <row r="7" spans="1:4" s="1" customFormat="1" ht="23.1" customHeight="1" x14ac:dyDescent="0.35">
      <c r="A7" s="3" t="s">
        <v>46</v>
      </c>
      <c r="B7" s="4"/>
      <c r="C7" s="49" t="s">
        <v>75</v>
      </c>
      <c r="D7" s="50">
        <v>1500</v>
      </c>
    </row>
    <row r="8" spans="1:4" s="1" customFormat="1" ht="23.1" customHeight="1" x14ac:dyDescent="0.35">
      <c r="A8" s="3" t="s">
        <v>46</v>
      </c>
      <c r="B8" s="4"/>
      <c r="C8" s="45" t="s">
        <v>9</v>
      </c>
      <c r="D8" s="46">
        <v>2000</v>
      </c>
    </row>
    <row r="9" spans="1:4" s="1" customFormat="1" ht="23.1" customHeight="1" x14ac:dyDescent="0.35">
      <c r="A9" s="3" t="s">
        <v>46</v>
      </c>
      <c r="B9" s="4"/>
      <c r="C9" s="45" t="s">
        <v>76</v>
      </c>
      <c r="D9" s="46">
        <v>2000</v>
      </c>
    </row>
    <row r="10" spans="1:4" s="39" customFormat="1" ht="15" customHeight="1" x14ac:dyDescent="0.35">
      <c r="A10" s="37" t="s">
        <v>46</v>
      </c>
      <c r="B10" s="38"/>
      <c r="C10" s="47"/>
      <c r="D10" s="48"/>
    </row>
    <row r="11" spans="1:4" s="1" customFormat="1" ht="23.1" customHeight="1" x14ac:dyDescent="0.35">
      <c r="A11" s="3" t="s">
        <v>46</v>
      </c>
      <c r="B11" s="4"/>
      <c r="C11" s="49" t="s">
        <v>77</v>
      </c>
      <c r="D11" s="50">
        <v>3500</v>
      </c>
    </row>
    <row r="12" spans="1:4" s="1" customFormat="1" ht="23.1" customHeight="1" x14ac:dyDescent="0.35">
      <c r="A12" s="3" t="s">
        <v>46</v>
      </c>
      <c r="B12" s="4"/>
      <c r="C12" s="45" t="s">
        <v>78</v>
      </c>
      <c r="D12" s="46">
        <v>3500</v>
      </c>
    </row>
    <row r="13" spans="1:4" s="39" customFormat="1" ht="15" customHeight="1" x14ac:dyDescent="0.35">
      <c r="A13" s="37"/>
      <c r="B13" s="38"/>
      <c r="C13" s="47"/>
      <c r="D13" s="48"/>
    </row>
    <row r="14" spans="1:4" s="1" customFormat="1" ht="23.1" customHeight="1" x14ac:dyDescent="0.35">
      <c r="A14" s="3" t="s">
        <v>46</v>
      </c>
      <c r="B14" s="4"/>
      <c r="C14" s="49" t="s">
        <v>81</v>
      </c>
      <c r="D14" s="50">
        <v>11000</v>
      </c>
    </row>
    <row r="15" spans="1:4" s="39" customFormat="1" ht="15" customHeight="1" x14ac:dyDescent="0.35">
      <c r="A15" s="37" t="s">
        <v>46</v>
      </c>
      <c r="B15" s="38"/>
      <c r="C15" s="47"/>
      <c r="D15" s="48"/>
    </row>
    <row r="16" spans="1:4" s="1" customFormat="1" ht="23.1" customHeight="1" x14ac:dyDescent="0.35">
      <c r="A16" s="3" t="s">
        <v>46</v>
      </c>
      <c r="B16" s="4"/>
      <c r="C16" s="49" t="s">
        <v>82</v>
      </c>
      <c r="D16" s="50">
        <v>11000</v>
      </c>
    </row>
    <row r="17" spans="1:4" s="39" customFormat="1" ht="15" customHeight="1" x14ac:dyDescent="0.35">
      <c r="A17" s="37" t="s">
        <v>46</v>
      </c>
      <c r="B17" s="38"/>
      <c r="C17" s="47"/>
      <c r="D17" s="48"/>
    </row>
    <row r="18" spans="1:4" s="1" customFormat="1" ht="23.1" customHeight="1" x14ac:dyDescent="0.35">
      <c r="A18" s="3" t="s">
        <v>46</v>
      </c>
      <c r="B18" s="4"/>
      <c r="C18" s="49" t="s">
        <v>83</v>
      </c>
      <c r="D18" s="50">
        <v>13000</v>
      </c>
    </row>
    <row r="19" spans="1:4" s="39" customFormat="1" ht="15" customHeight="1" x14ac:dyDescent="0.35">
      <c r="A19" s="37" t="s">
        <v>46</v>
      </c>
      <c r="B19" s="38"/>
      <c r="C19" s="47"/>
      <c r="D19" s="48"/>
    </row>
    <row r="20" spans="1:4" s="1" customFormat="1" ht="23.1" customHeight="1" x14ac:dyDescent="0.35">
      <c r="A20" s="3" t="s">
        <v>46</v>
      </c>
      <c r="B20" s="4"/>
      <c r="C20" s="49" t="s">
        <v>84</v>
      </c>
      <c r="D20" s="50">
        <v>14000</v>
      </c>
    </row>
    <row r="21" spans="1:4" s="39" customFormat="1" ht="15" customHeight="1" x14ac:dyDescent="0.35">
      <c r="A21" s="37" t="s">
        <v>46</v>
      </c>
      <c r="B21" s="38"/>
      <c r="C21" s="47"/>
      <c r="D21" s="48"/>
    </row>
    <row r="22" spans="1:4" s="1" customFormat="1" ht="23.1" customHeight="1" x14ac:dyDescent="0.35">
      <c r="A22" s="3" t="s">
        <v>46</v>
      </c>
      <c r="B22" s="4"/>
      <c r="C22" s="49" t="s">
        <v>85</v>
      </c>
      <c r="D22" s="50">
        <v>18000</v>
      </c>
    </row>
    <row r="23" spans="1:4" s="39" customFormat="1" ht="15" customHeight="1" x14ac:dyDescent="0.35">
      <c r="A23" s="37" t="s">
        <v>46</v>
      </c>
      <c r="B23" s="38"/>
      <c r="C23" s="47"/>
      <c r="D23" s="48"/>
    </row>
    <row r="24" spans="1:4" s="1" customFormat="1" ht="23.1" customHeight="1" x14ac:dyDescent="0.35">
      <c r="A24" s="3" t="s">
        <v>46</v>
      </c>
      <c r="B24" s="4"/>
      <c r="C24" s="49" t="s">
        <v>86</v>
      </c>
      <c r="D24" s="50">
        <v>20000</v>
      </c>
    </row>
    <row r="25" spans="1:4" s="41" customFormat="1" ht="15" customHeight="1" x14ac:dyDescent="0.35">
      <c r="A25" s="37" t="s">
        <v>46</v>
      </c>
      <c r="B25" s="40"/>
      <c r="C25" s="47"/>
      <c r="D25" s="48"/>
    </row>
    <row r="26" spans="1:4" ht="23.1" customHeight="1" x14ac:dyDescent="0.35">
      <c r="A26" s="3" t="s">
        <v>46</v>
      </c>
      <c r="B26" s="2"/>
      <c r="C26" s="49" t="s">
        <v>19</v>
      </c>
      <c r="D26" s="50">
        <v>5000</v>
      </c>
    </row>
    <row r="27" spans="1:4" x14ac:dyDescent="0.35">
      <c r="A27" s="3" t="s">
        <v>46</v>
      </c>
      <c r="C27" s="45" t="s">
        <v>18</v>
      </c>
      <c r="D27" s="46">
        <v>5000</v>
      </c>
    </row>
    <row r="28" spans="1:4" s="40" customFormat="1" ht="15" customHeight="1" x14ac:dyDescent="0.35">
      <c r="A28" s="37" t="s">
        <v>46</v>
      </c>
      <c r="B28" s="41"/>
      <c r="C28" s="47"/>
      <c r="D28" s="48"/>
    </row>
    <row r="29" spans="1:4" x14ac:dyDescent="0.35">
      <c r="C29" s="49" t="s">
        <v>79</v>
      </c>
      <c r="D29" s="50">
        <v>4000</v>
      </c>
    </row>
    <row r="30" spans="1:4" x14ac:dyDescent="0.35">
      <c r="C30" s="45" t="s">
        <v>23</v>
      </c>
      <c r="D30" s="46">
        <v>4000</v>
      </c>
    </row>
    <row r="31" spans="1:4" x14ac:dyDescent="0.35">
      <c r="C31" s="45" t="s">
        <v>22</v>
      </c>
      <c r="D31" s="46">
        <v>3500</v>
      </c>
    </row>
    <row r="32" spans="1:4" ht="21.75" thickBot="1" x14ac:dyDescent="0.4">
      <c r="C32" s="51" t="s">
        <v>80</v>
      </c>
      <c r="D32" s="52">
        <v>3500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8"/>
  <sheetViews>
    <sheetView zoomScaleNormal="100" workbookViewId="0">
      <selection activeCell="Q20" sqref="Q20"/>
    </sheetView>
  </sheetViews>
  <sheetFormatPr baseColWidth="10" defaultColWidth="11.5703125" defaultRowHeight="15" x14ac:dyDescent="0.25"/>
  <cols>
    <col min="1" max="1" width="4.85546875" style="3" customWidth="1"/>
    <col min="2" max="2" width="22.140625" style="2" customWidth="1"/>
    <col min="3" max="4" width="6.5703125" customWidth="1"/>
    <col min="5" max="5" width="7.28515625" customWidth="1"/>
    <col min="6" max="6" width="11" customWidth="1"/>
    <col min="7" max="7" width="8" customWidth="1"/>
    <col min="8" max="9" width="9.5703125" customWidth="1"/>
    <col min="11" max="11" width="9.42578125" style="150" customWidth="1"/>
    <col min="12" max="12" width="7.5703125" style="155" customWidth="1"/>
    <col min="14" max="14" width="6.5703125" style="3" customWidth="1"/>
    <col min="15" max="15" width="20.42578125" style="2" customWidth="1"/>
    <col min="16" max="16" width="11.7109375" style="18" customWidth="1"/>
    <col min="17" max="17" width="11.42578125" style="4"/>
    <col min="18" max="18" width="11.42578125" style="15"/>
    <col min="19" max="19" width="11.42578125" style="2"/>
    <col min="20" max="20" width="11.42578125" style="128"/>
  </cols>
  <sheetData>
    <row r="2" spans="1:20" ht="15.75" thickBot="1" x14ac:dyDescent="0.3">
      <c r="F2" s="71">
        <f>SUM(F5:F34)</f>
        <v>6614120</v>
      </c>
      <c r="G2" s="71" t="s">
        <v>46</v>
      </c>
      <c r="H2" s="71" t="s">
        <v>46</v>
      </c>
      <c r="I2" s="71">
        <f>SUM(I5:I34)</f>
        <v>3288020</v>
      </c>
      <c r="J2" s="71">
        <f>SUM(J5:J34)</f>
        <v>3326100</v>
      </c>
      <c r="K2" s="103"/>
      <c r="L2" s="151"/>
    </row>
    <row r="3" spans="1:20" s="42" customFormat="1" x14ac:dyDescent="0.25">
      <c r="A3" s="15"/>
      <c r="B3" s="60"/>
      <c r="C3" s="371" t="s">
        <v>94</v>
      </c>
      <c r="D3" s="372"/>
      <c r="E3" s="372"/>
      <c r="F3" s="383"/>
      <c r="G3" s="371" t="s">
        <v>88</v>
      </c>
      <c r="H3" s="372"/>
      <c r="I3" s="383"/>
      <c r="J3" s="69" t="s">
        <v>95</v>
      </c>
      <c r="K3" s="115"/>
      <c r="L3" s="152"/>
      <c r="N3" s="15"/>
      <c r="O3" s="60"/>
      <c r="P3" s="61"/>
      <c r="Q3" s="62"/>
      <c r="R3" s="15"/>
      <c r="S3" s="60"/>
      <c r="T3" s="129"/>
    </row>
    <row r="4" spans="1:20" s="63" customFormat="1" ht="13.5" thickBot="1" x14ac:dyDescent="0.25">
      <c r="B4" s="63" t="s">
        <v>26</v>
      </c>
      <c r="C4" s="66" t="s">
        <v>27</v>
      </c>
      <c r="D4" s="67" t="s">
        <v>87</v>
      </c>
      <c r="E4" s="67" t="s">
        <v>28</v>
      </c>
      <c r="F4" s="68" t="s">
        <v>93</v>
      </c>
      <c r="G4" s="66" t="s">
        <v>89</v>
      </c>
      <c r="H4" s="67" t="s">
        <v>90</v>
      </c>
      <c r="I4" s="68" t="s">
        <v>91</v>
      </c>
      <c r="J4" s="70" t="s">
        <v>92</v>
      </c>
      <c r="K4" s="157"/>
      <c r="L4" s="153"/>
      <c r="M4" s="65">
        <f>+J2</f>
        <v>3326100</v>
      </c>
      <c r="O4" s="63" t="s">
        <v>26</v>
      </c>
      <c r="P4" s="64"/>
      <c r="Q4" s="65" t="s">
        <v>27</v>
      </c>
      <c r="R4" s="63" t="s">
        <v>71</v>
      </c>
      <c r="S4" s="63" t="s">
        <v>70</v>
      </c>
      <c r="T4" s="130"/>
    </row>
    <row r="5" spans="1:20" s="1" customFormat="1" ht="23.1" customHeight="1" x14ac:dyDescent="0.3">
      <c r="A5" s="3" t="s">
        <v>46</v>
      </c>
      <c r="B5" s="6" t="s">
        <v>5</v>
      </c>
      <c r="C5" s="7">
        <v>480</v>
      </c>
      <c r="D5" s="7">
        <v>24</v>
      </c>
      <c r="E5" s="7">
        <v>5</v>
      </c>
      <c r="F5" s="7">
        <f>+E5*D5*C5</f>
        <v>57600</v>
      </c>
      <c r="G5" s="88">
        <v>0</v>
      </c>
      <c r="H5" s="57">
        <v>0</v>
      </c>
      <c r="I5" s="57">
        <f>+(G5*D5*C5)+(C5*H5)</f>
        <v>0</v>
      </c>
      <c r="J5" s="8">
        <f>+F5-I5</f>
        <v>57600</v>
      </c>
      <c r="K5" s="158">
        <f>+J5+J6+J7+J8+J9+J10</f>
        <v>195840</v>
      </c>
      <c r="L5" s="154"/>
      <c r="M5" s="4">
        <v>0</v>
      </c>
      <c r="N5" s="95" t="s">
        <v>118</v>
      </c>
      <c r="O5" s="19" t="str">
        <f>+B5</f>
        <v>Coca cola zero</v>
      </c>
      <c r="P5" s="20"/>
      <c r="Q5" s="21">
        <v>1000</v>
      </c>
      <c r="R5" s="31">
        <f>+S5/C5*100</f>
        <v>108.33333333333333</v>
      </c>
      <c r="S5" s="22">
        <f>+Q5-C5</f>
        <v>520</v>
      </c>
      <c r="T5" s="131"/>
    </row>
    <row r="6" spans="1:20" s="1" customFormat="1" ht="23.1" customHeight="1" x14ac:dyDescent="0.3">
      <c r="A6" s="3" t="s">
        <v>46</v>
      </c>
      <c r="B6" s="9" t="s">
        <v>0</v>
      </c>
      <c r="C6" s="10">
        <v>480</v>
      </c>
      <c r="D6" s="10">
        <v>24</v>
      </c>
      <c r="E6" s="10">
        <v>50</v>
      </c>
      <c r="F6" s="10">
        <f>+E6*D6*C6</f>
        <v>576000</v>
      </c>
      <c r="G6" s="89">
        <v>50</v>
      </c>
      <c r="H6" s="58">
        <v>0</v>
      </c>
      <c r="I6" s="58">
        <f>+(G6*D6*C6)+(C6*H6)</f>
        <v>576000</v>
      </c>
      <c r="J6" s="11">
        <f>+F6-I6</f>
        <v>0</v>
      </c>
      <c r="K6" s="158">
        <f>+J12+J13</f>
        <v>691200</v>
      </c>
      <c r="L6" s="154"/>
      <c r="M6" s="4">
        <v>0</v>
      </c>
      <c r="N6" s="95" t="s">
        <v>119</v>
      </c>
      <c r="O6" s="23" t="str">
        <f t="shared" ref="O6:O34" si="0">+B6</f>
        <v>Coca cola normal</v>
      </c>
      <c r="P6" s="24"/>
      <c r="Q6" s="25">
        <v>1000</v>
      </c>
      <c r="R6" s="32">
        <f>+S6/C6*100</f>
        <v>108.33333333333333</v>
      </c>
      <c r="S6" s="26">
        <f t="shared" ref="S6:S34" si="1">+Q6-C6</f>
        <v>520</v>
      </c>
      <c r="T6" s="131"/>
    </row>
    <row r="7" spans="1:20" s="1" customFormat="1" ht="23.1" customHeight="1" x14ac:dyDescent="0.3">
      <c r="A7" s="3" t="s">
        <v>46</v>
      </c>
      <c r="B7" s="9" t="s">
        <v>1</v>
      </c>
      <c r="C7" s="10">
        <v>480</v>
      </c>
      <c r="D7" s="10">
        <v>24</v>
      </c>
      <c r="E7" s="10">
        <v>5</v>
      </c>
      <c r="F7" s="10">
        <f t="shared" ref="F7:F34" si="2">+E7*D7*C7</f>
        <v>57600</v>
      </c>
      <c r="G7" s="89">
        <v>3</v>
      </c>
      <c r="H7" s="58">
        <v>0</v>
      </c>
      <c r="I7" s="58">
        <f t="shared" ref="I7:I34" si="3">+(G7*D7*C7)+(C7*H7)</f>
        <v>34560</v>
      </c>
      <c r="J7" s="11">
        <f t="shared" ref="J7:J34" si="4">+F7-I7</f>
        <v>23040</v>
      </c>
      <c r="K7" s="158"/>
      <c r="L7" s="154"/>
      <c r="M7" s="4"/>
      <c r="N7" s="95"/>
      <c r="O7" s="23" t="str">
        <f t="shared" si="0"/>
        <v>Coca cola ligth</v>
      </c>
      <c r="P7" s="24"/>
      <c r="Q7" s="25">
        <v>1000</v>
      </c>
      <c r="R7" s="32">
        <f t="shared" ref="R7:R31" si="5">+S7/C7*100</f>
        <v>108.33333333333333</v>
      </c>
      <c r="S7" s="26">
        <f t="shared" si="1"/>
        <v>520</v>
      </c>
      <c r="T7" s="131"/>
    </row>
    <row r="8" spans="1:20" s="1" customFormat="1" ht="23.1" customHeight="1" x14ac:dyDescent="0.3">
      <c r="A8" s="3" t="s">
        <v>46</v>
      </c>
      <c r="B8" s="9" t="s">
        <v>2</v>
      </c>
      <c r="C8" s="10">
        <v>480</v>
      </c>
      <c r="D8" s="10">
        <v>24</v>
      </c>
      <c r="E8" s="10">
        <v>10</v>
      </c>
      <c r="F8" s="10">
        <f t="shared" si="2"/>
        <v>115200</v>
      </c>
      <c r="G8" s="89">
        <v>10</v>
      </c>
      <c r="H8" s="58">
        <v>0</v>
      </c>
      <c r="I8" s="58">
        <f t="shared" si="3"/>
        <v>115200</v>
      </c>
      <c r="J8" s="11">
        <f t="shared" si="4"/>
        <v>0</v>
      </c>
      <c r="K8" s="158">
        <f>+K6+K5</f>
        <v>887040</v>
      </c>
      <c r="L8" s="154"/>
      <c r="M8" s="4">
        <f>+M6+M5+M4</f>
        <v>3326100</v>
      </c>
      <c r="N8" s="95"/>
      <c r="O8" s="23" t="str">
        <f t="shared" si="0"/>
        <v>Fanta normal</v>
      </c>
      <c r="P8" s="24"/>
      <c r="Q8" s="25">
        <v>1000</v>
      </c>
      <c r="R8" s="32">
        <f t="shared" si="5"/>
        <v>108.33333333333333</v>
      </c>
      <c r="S8" s="26">
        <f t="shared" si="1"/>
        <v>520</v>
      </c>
      <c r="T8" s="131"/>
    </row>
    <row r="9" spans="1:20" s="1" customFormat="1" ht="23.1" customHeight="1" x14ac:dyDescent="0.3">
      <c r="A9" s="3" t="s">
        <v>46</v>
      </c>
      <c r="B9" s="9" t="s">
        <v>3</v>
      </c>
      <c r="C9" s="10">
        <v>480</v>
      </c>
      <c r="D9" s="10">
        <v>24</v>
      </c>
      <c r="E9" s="10">
        <v>45</v>
      </c>
      <c r="F9" s="10">
        <f t="shared" si="2"/>
        <v>518400</v>
      </c>
      <c r="G9" s="89">
        <v>40</v>
      </c>
      <c r="H9" s="58">
        <v>0</v>
      </c>
      <c r="I9" s="58">
        <f t="shared" si="3"/>
        <v>460800</v>
      </c>
      <c r="J9" s="11">
        <f t="shared" si="4"/>
        <v>57600</v>
      </c>
      <c r="K9" s="158"/>
      <c r="L9" s="154"/>
      <c r="M9" s="4"/>
      <c r="N9" s="95"/>
      <c r="O9" s="23" t="str">
        <f t="shared" si="0"/>
        <v>Sprite normal</v>
      </c>
      <c r="P9" s="24"/>
      <c r="Q9" s="25">
        <v>1000</v>
      </c>
      <c r="R9" s="32">
        <f t="shared" si="5"/>
        <v>108.33333333333333</v>
      </c>
      <c r="S9" s="26">
        <f t="shared" si="1"/>
        <v>520</v>
      </c>
      <c r="T9" s="131"/>
    </row>
    <row r="10" spans="1:20" s="1" customFormat="1" ht="23.1" customHeight="1" x14ac:dyDescent="0.3">
      <c r="A10" s="3" t="s">
        <v>46</v>
      </c>
      <c r="B10" s="9" t="s">
        <v>4</v>
      </c>
      <c r="C10" s="10">
        <v>480</v>
      </c>
      <c r="D10" s="10">
        <v>24</v>
      </c>
      <c r="E10" s="10">
        <v>5</v>
      </c>
      <c r="F10" s="10">
        <f t="shared" si="2"/>
        <v>57600</v>
      </c>
      <c r="G10" s="10">
        <v>0</v>
      </c>
      <c r="H10" s="58">
        <v>0</v>
      </c>
      <c r="I10" s="58">
        <f t="shared" si="3"/>
        <v>0</v>
      </c>
      <c r="J10" s="11">
        <f t="shared" si="4"/>
        <v>57600</v>
      </c>
      <c r="K10" s="158"/>
      <c r="L10" s="154"/>
      <c r="M10" s="4"/>
      <c r="N10" s="95"/>
      <c r="O10" s="23" t="str">
        <f t="shared" si="0"/>
        <v>Sprite light</v>
      </c>
      <c r="P10" s="24"/>
      <c r="Q10" s="25">
        <v>1000</v>
      </c>
      <c r="R10" s="32">
        <f t="shared" si="5"/>
        <v>108.33333333333333</v>
      </c>
      <c r="S10" s="26">
        <f t="shared" si="1"/>
        <v>520</v>
      </c>
      <c r="T10" s="131"/>
    </row>
    <row r="11" spans="1:20" s="1" customFormat="1" ht="23.1" customHeight="1" x14ac:dyDescent="0.3">
      <c r="A11" s="3" t="s">
        <v>46</v>
      </c>
      <c r="B11" s="9" t="s">
        <v>20</v>
      </c>
      <c r="C11" s="10">
        <v>450</v>
      </c>
      <c r="D11" s="10">
        <v>12</v>
      </c>
      <c r="E11" s="10">
        <v>7</v>
      </c>
      <c r="F11" s="10">
        <f t="shared" si="2"/>
        <v>37800</v>
      </c>
      <c r="G11" s="89">
        <v>5</v>
      </c>
      <c r="H11" s="90">
        <v>5</v>
      </c>
      <c r="I11" s="58">
        <f>+(G11*D11*C11)+(C11*H11)</f>
        <v>29250</v>
      </c>
      <c r="J11" s="11">
        <f t="shared" si="4"/>
        <v>8550</v>
      </c>
      <c r="K11" s="158"/>
      <c r="L11" s="154"/>
      <c r="M11" s="4"/>
      <c r="N11" s="95"/>
      <c r="O11" s="23" t="str">
        <f t="shared" si="0"/>
        <v>Agua mineral 500cc</v>
      </c>
      <c r="P11" s="24"/>
      <c r="Q11" s="25">
        <v>1000</v>
      </c>
      <c r="R11" s="32">
        <f t="shared" si="5"/>
        <v>122.22222222222223</v>
      </c>
      <c r="S11" s="26">
        <f t="shared" si="1"/>
        <v>550</v>
      </c>
      <c r="T11" s="131"/>
    </row>
    <row r="12" spans="1:20" s="1" customFormat="1" ht="23.1" customHeight="1" x14ac:dyDescent="0.3">
      <c r="A12" s="3" t="s">
        <v>46</v>
      </c>
      <c r="B12" s="9" t="s">
        <v>6</v>
      </c>
      <c r="C12" s="10">
        <v>480</v>
      </c>
      <c r="D12" s="10">
        <v>24</v>
      </c>
      <c r="E12" s="10">
        <v>30</v>
      </c>
      <c r="F12" s="10">
        <f t="shared" si="2"/>
        <v>345600</v>
      </c>
      <c r="G12" s="10">
        <v>0</v>
      </c>
      <c r="H12" s="58">
        <v>0</v>
      </c>
      <c r="I12" s="58">
        <f t="shared" si="3"/>
        <v>0</v>
      </c>
      <c r="J12" s="11">
        <f t="shared" si="4"/>
        <v>345600</v>
      </c>
      <c r="K12" s="158"/>
      <c r="L12" s="154"/>
      <c r="M12" s="4"/>
      <c r="N12" s="95"/>
      <c r="O12" s="23" t="str">
        <f t="shared" si="0"/>
        <v>Cervez Cristal</v>
      </c>
      <c r="P12" s="24"/>
      <c r="Q12" s="25">
        <v>1000</v>
      </c>
      <c r="R12" s="32">
        <f t="shared" si="5"/>
        <v>108.33333333333333</v>
      </c>
      <c r="S12" s="26">
        <f t="shared" si="1"/>
        <v>520</v>
      </c>
      <c r="T12" s="131"/>
    </row>
    <row r="13" spans="1:20" s="1" customFormat="1" ht="23.1" customHeight="1" x14ac:dyDescent="0.3">
      <c r="A13" s="3" t="s">
        <v>46</v>
      </c>
      <c r="B13" s="9" t="s">
        <v>7</v>
      </c>
      <c r="C13" s="10">
        <v>480</v>
      </c>
      <c r="D13" s="10">
        <v>24</v>
      </c>
      <c r="E13" s="10">
        <v>30</v>
      </c>
      <c r="F13" s="10">
        <f t="shared" si="2"/>
        <v>345600</v>
      </c>
      <c r="G13" s="10">
        <v>0</v>
      </c>
      <c r="H13" s="58">
        <v>0</v>
      </c>
      <c r="I13" s="58">
        <f t="shared" si="3"/>
        <v>0</v>
      </c>
      <c r="J13" s="11">
        <f t="shared" si="4"/>
        <v>345600</v>
      </c>
      <c r="K13" s="158"/>
      <c r="L13" s="154"/>
      <c r="M13" s="4"/>
      <c r="N13" s="95"/>
      <c r="O13" s="23" t="str">
        <f t="shared" si="0"/>
        <v>Cerveza Escudo</v>
      </c>
      <c r="P13" s="24"/>
      <c r="Q13" s="25">
        <v>1000</v>
      </c>
      <c r="R13" s="32">
        <f t="shared" si="5"/>
        <v>108.33333333333333</v>
      </c>
      <c r="S13" s="26">
        <f t="shared" si="1"/>
        <v>520</v>
      </c>
      <c r="T13" s="131"/>
    </row>
    <row r="14" spans="1:20" s="1" customFormat="1" ht="23.1" customHeight="1" x14ac:dyDescent="0.3">
      <c r="A14" s="3" t="s">
        <v>46</v>
      </c>
      <c r="B14" s="9" t="s">
        <v>8</v>
      </c>
      <c r="C14" s="10">
        <v>750</v>
      </c>
      <c r="D14" s="10">
        <v>24</v>
      </c>
      <c r="E14" s="10">
        <v>40</v>
      </c>
      <c r="F14" s="10">
        <f t="shared" si="2"/>
        <v>720000</v>
      </c>
      <c r="G14" s="89">
        <v>0</v>
      </c>
      <c r="H14" s="90">
        <v>5</v>
      </c>
      <c r="I14" s="58">
        <f t="shared" si="3"/>
        <v>3750</v>
      </c>
      <c r="J14" s="11">
        <f t="shared" si="4"/>
        <v>716250</v>
      </c>
      <c r="K14" s="158"/>
      <c r="L14" s="154"/>
      <c r="M14" s="4"/>
      <c r="N14" s="95"/>
      <c r="O14" s="23" t="str">
        <f t="shared" si="0"/>
        <v>Cerveza Corona</v>
      </c>
      <c r="P14" s="24"/>
      <c r="Q14" s="25">
        <v>1500</v>
      </c>
      <c r="R14" s="32">
        <f t="shared" si="5"/>
        <v>100</v>
      </c>
      <c r="S14" s="26">
        <f t="shared" si="1"/>
        <v>750</v>
      </c>
      <c r="T14" s="131"/>
    </row>
    <row r="15" spans="1:20" s="1" customFormat="1" ht="23.1" customHeight="1" x14ac:dyDescent="0.3">
      <c r="A15" s="3" t="s">
        <v>46</v>
      </c>
      <c r="B15" s="9" t="s">
        <v>9</v>
      </c>
      <c r="C15" s="10">
        <v>1100</v>
      </c>
      <c r="D15" s="10">
        <v>24</v>
      </c>
      <c r="E15" s="10">
        <f>2+3</f>
        <v>5</v>
      </c>
      <c r="F15" s="10">
        <f t="shared" si="2"/>
        <v>132000</v>
      </c>
      <c r="G15" s="89">
        <v>1</v>
      </c>
      <c r="H15" s="90">
        <v>20</v>
      </c>
      <c r="I15" s="58">
        <f t="shared" si="3"/>
        <v>48400</v>
      </c>
      <c r="J15" s="11">
        <f t="shared" si="4"/>
        <v>83600</v>
      </c>
      <c r="K15" s="158"/>
      <c r="L15" s="154"/>
      <c r="M15" s="4"/>
      <c r="N15" s="95"/>
      <c r="O15" s="23" t="str">
        <f t="shared" si="0"/>
        <v>Red Bull</v>
      </c>
      <c r="P15" s="24"/>
      <c r="Q15" s="25">
        <v>2000</v>
      </c>
      <c r="R15" s="32">
        <f t="shared" si="5"/>
        <v>81.818181818181827</v>
      </c>
      <c r="S15" s="26">
        <f t="shared" si="1"/>
        <v>900</v>
      </c>
      <c r="T15" s="131"/>
    </row>
    <row r="16" spans="1:20" s="1" customFormat="1" ht="23.1" customHeight="1" x14ac:dyDescent="0.3">
      <c r="A16" s="3" t="s">
        <v>46</v>
      </c>
      <c r="B16" s="9" t="s">
        <v>10</v>
      </c>
      <c r="C16" s="10">
        <v>1000</v>
      </c>
      <c r="D16" s="10">
        <v>24</v>
      </c>
      <c r="E16" s="10">
        <v>4</v>
      </c>
      <c r="F16" s="10">
        <f t="shared" si="2"/>
        <v>96000</v>
      </c>
      <c r="G16" s="10">
        <v>0</v>
      </c>
      <c r="H16" s="58">
        <v>0</v>
      </c>
      <c r="I16" s="58">
        <f t="shared" si="3"/>
        <v>0</v>
      </c>
      <c r="J16" s="11">
        <f t="shared" si="4"/>
        <v>96000</v>
      </c>
      <c r="K16" s="158"/>
      <c r="L16" s="154"/>
      <c r="M16" s="4"/>
      <c r="N16" s="95"/>
      <c r="O16" s="23" t="str">
        <f t="shared" si="0"/>
        <v>Mojito normal</v>
      </c>
      <c r="P16" s="24"/>
      <c r="Q16" s="25">
        <v>2000</v>
      </c>
      <c r="R16" s="32">
        <f t="shared" si="5"/>
        <v>100</v>
      </c>
      <c r="S16" s="26">
        <f t="shared" si="1"/>
        <v>1000</v>
      </c>
      <c r="T16" s="131"/>
    </row>
    <row r="17" spans="1:20" s="1" customFormat="1" ht="23.1" customHeight="1" x14ac:dyDescent="0.3">
      <c r="A17" s="3" t="s">
        <v>46</v>
      </c>
      <c r="B17" s="9" t="s">
        <v>11</v>
      </c>
      <c r="C17" s="10">
        <v>4500</v>
      </c>
      <c r="D17" s="10">
        <v>12</v>
      </c>
      <c r="E17" s="10">
        <v>10</v>
      </c>
      <c r="F17" s="10">
        <f t="shared" si="2"/>
        <v>540000</v>
      </c>
      <c r="G17" s="89">
        <v>6</v>
      </c>
      <c r="H17" s="90">
        <v>2</v>
      </c>
      <c r="I17" s="58">
        <f t="shared" si="3"/>
        <v>333000</v>
      </c>
      <c r="J17" s="11">
        <f t="shared" si="4"/>
        <v>207000</v>
      </c>
      <c r="K17" s="158"/>
      <c r="L17" s="154"/>
      <c r="M17" s="4"/>
      <c r="N17" s="95"/>
      <c r="O17" s="23" t="str">
        <f t="shared" si="0"/>
        <v>Pisco Mistral</v>
      </c>
      <c r="P17" s="24" t="s">
        <v>68</v>
      </c>
      <c r="Q17" s="25">
        <v>11000</v>
      </c>
      <c r="R17" s="32">
        <f t="shared" si="5"/>
        <v>144.44444444444443</v>
      </c>
      <c r="S17" s="26">
        <f t="shared" si="1"/>
        <v>6500</v>
      </c>
      <c r="T17" s="131"/>
    </row>
    <row r="18" spans="1:20" s="1" customFormat="1" ht="23.1" customHeight="1" x14ac:dyDescent="0.3">
      <c r="A18" s="3" t="s">
        <v>46</v>
      </c>
      <c r="B18" s="9" t="s">
        <v>12</v>
      </c>
      <c r="C18" s="10">
        <v>4500</v>
      </c>
      <c r="D18" s="10">
        <v>12</v>
      </c>
      <c r="E18" s="10">
        <v>5</v>
      </c>
      <c r="F18" s="10">
        <f t="shared" si="2"/>
        <v>270000</v>
      </c>
      <c r="G18" s="89">
        <v>3</v>
      </c>
      <c r="H18" s="90">
        <v>0</v>
      </c>
      <c r="I18" s="58">
        <f t="shared" si="3"/>
        <v>162000</v>
      </c>
      <c r="J18" s="11">
        <f t="shared" si="4"/>
        <v>108000</v>
      </c>
      <c r="K18" s="158"/>
      <c r="L18" s="154"/>
      <c r="M18" s="4"/>
      <c r="N18" s="95"/>
      <c r="O18" s="23" t="str">
        <f t="shared" si="0"/>
        <v>Pisco Alto del Carmen</v>
      </c>
      <c r="P18" s="24" t="s">
        <v>68</v>
      </c>
      <c r="Q18" s="25">
        <v>11000</v>
      </c>
      <c r="R18" s="32">
        <f t="shared" si="5"/>
        <v>144.44444444444443</v>
      </c>
      <c r="S18" s="26">
        <f t="shared" si="1"/>
        <v>6500</v>
      </c>
      <c r="T18" s="131"/>
    </row>
    <row r="19" spans="1:20" s="1" customFormat="1" ht="23.1" customHeight="1" x14ac:dyDescent="0.3">
      <c r="A19" s="3" t="s">
        <v>46</v>
      </c>
      <c r="B19" s="9" t="s">
        <v>13</v>
      </c>
      <c r="C19" s="10">
        <v>5500</v>
      </c>
      <c r="D19" s="10">
        <v>12</v>
      </c>
      <c r="E19" s="10">
        <v>2</v>
      </c>
      <c r="F19" s="10">
        <f t="shared" si="2"/>
        <v>132000</v>
      </c>
      <c r="G19" s="89">
        <v>1</v>
      </c>
      <c r="H19" s="90">
        <v>3</v>
      </c>
      <c r="I19" s="58">
        <f t="shared" si="3"/>
        <v>82500</v>
      </c>
      <c r="J19" s="11">
        <f t="shared" si="4"/>
        <v>49500</v>
      </c>
      <c r="K19" s="158"/>
      <c r="L19" s="154"/>
      <c r="M19" s="4"/>
      <c r="N19" s="95"/>
      <c r="O19" s="23" t="str">
        <f t="shared" si="0"/>
        <v>Ron Barceló</v>
      </c>
      <c r="P19" s="24" t="s">
        <v>68</v>
      </c>
      <c r="Q19" s="25">
        <v>13000</v>
      </c>
      <c r="R19" s="32">
        <f t="shared" si="5"/>
        <v>136.36363636363635</v>
      </c>
      <c r="S19" s="26">
        <f t="shared" si="1"/>
        <v>7500</v>
      </c>
      <c r="T19" s="131"/>
    </row>
    <row r="20" spans="1:20" s="1" customFormat="1" ht="23.1" customHeight="1" x14ac:dyDescent="0.3">
      <c r="A20" s="3" t="s">
        <v>46</v>
      </c>
      <c r="B20" s="9" t="s">
        <v>14</v>
      </c>
      <c r="C20" s="10">
        <v>6000</v>
      </c>
      <c r="D20" s="10">
        <v>12</v>
      </c>
      <c r="E20" s="10">
        <v>5</v>
      </c>
      <c r="F20" s="10">
        <f t="shared" si="2"/>
        <v>360000</v>
      </c>
      <c r="G20" s="89">
        <v>2</v>
      </c>
      <c r="H20" s="90">
        <v>1</v>
      </c>
      <c r="I20" s="58">
        <f t="shared" si="3"/>
        <v>150000</v>
      </c>
      <c r="J20" s="11">
        <f t="shared" si="4"/>
        <v>210000</v>
      </c>
      <c r="K20" s="158"/>
      <c r="L20" s="154"/>
      <c r="M20" s="4"/>
      <c r="N20" s="95"/>
      <c r="O20" s="23" t="str">
        <f t="shared" si="0"/>
        <v>Whisky Sandy</v>
      </c>
      <c r="P20" s="24" t="s">
        <v>68</v>
      </c>
      <c r="Q20" s="25">
        <v>14000</v>
      </c>
      <c r="R20" s="32">
        <f t="shared" si="5"/>
        <v>133.33333333333331</v>
      </c>
      <c r="S20" s="26">
        <f t="shared" si="1"/>
        <v>8000</v>
      </c>
      <c r="T20" s="131"/>
    </row>
    <row r="21" spans="1:20" s="1" customFormat="1" ht="23.1" customHeight="1" x14ac:dyDescent="0.3">
      <c r="A21" s="3" t="s">
        <v>46</v>
      </c>
      <c r="B21" s="9" t="s">
        <v>15</v>
      </c>
      <c r="C21" s="10">
        <v>9000</v>
      </c>
      <c r="D21" s="10">
        <v>12</v>
      </c>
      <c r="E21" s="10">
        <v>5</v>
      </c>
      <c r="F21" s="10">
        <f t="shared" si="2"/>
        <v>540000</v>
      </c>
      <c r="G21" s="89">
        <v>2</v>
      </c>
      <c r="H21" s="90">
        <v>9</v>
      </c>
      <c r="I21" s="58">
        <f t="shared" si="3"/>
        <v>297000</v>
      </c>
      <c r="J21" s="11">
        <f t="shared" si="4"/>
        <v>243000</v>
      </c>
      <c r="K21" s="158"/>
      <c r="L21" s="154"/>
      <c r="M21" s="4"/>
      <c r="N21" s="95"/>
      <c r="O21" s="23" t="str">
        <f t="shared" si="0"/>
        <v>Whisky Jonnie</v>
      </c>
      <c r="P21" s="24" t="s">
        <v>68</v>
      </c>
      <c r="Q21" s="25">
        <v>20000</v>
      </c>
      <c r="R21" s="32">
        <f t="shared" si="5"/>
        <v>122.22222222222223</v>
      </c>
      <c r="S21" s="26">
        <f t="shared" si="1"/>
        <v>11000</v>
      </c>
      <c r="T21" s="131"/>
    </row>
    <row r="22" spans="1:20" s="1" customFormat="1" ht="23.1" customHeight="1" x14ac:dyDescent="0.3">
      <c r="A22" s="3" t="s">
        <v>46</v>
      </c>
      <c r="B22" s="9" t="s">
        <v>16</v>
      </c>
      <c r="C22" s="10">
        <v>8000</v>
      </c>
      <c r="D22" s="10">
        <v>12</v>
      </c>
      <c r="E22" s="10">
        <v>5</v>
      </c>
      <c r="F22" s="10">
        <f t="shared" si="2"/>
        <v>480000</v>
      </c>
      <c r="G22" s="89">
        <v>3</v>
      </c>
      <c r="H22" s="90">
        <v>9</v>
      </c>
      <c r="I22" s="58">
        <f t="shared" si="3"/>
        <v>360000</v>
      </c>
      <c r="J22" s="11">
        <f t="shared" si="4"/>
        <v>120000</v>
      </c>
      <c r="K22" s="158"/>
      <c r="L22" s="154"/>
      <c r="M22" s="4"/>
      <c r="N22" s="95"/>
      <c r="O22" s="23" t="str">
        <f t="shared" si="0"/>
        <v>Whisky Ballantines</v>
      </c>
      <c r="P22" s="24" t="s">
        <v>68</v>
      </c>
      <c r="Q22" s="25">
        <v>18000</v>
      </c>
      <c r="R22" s="32">
        <f t="shared" si="5"/>
        <v>125</v>
      </c>
      <c r="S22" s="26">
        <f t="shared" si="1"/>
        <v>10000</v>
      </c>
      <c r="T22" s="131"/>
    </row>
    <row r="23" spans="1:20" s="1" customFormat="1" ht="23.1" customHeight="1" x14ac:dyDescent="0.3">
      <c r="A23" s="3" t="s">
        <v>46</v>
      </c>
      <c r="B23" s="9" t="s">
        <v>17</v>
      </c>
      <c r="C23" s="10">
        <v>600</v>
      </c>
      <c r="D23" s="10">
        <v>24</v>
      </c>
      <c r="E23" s="10">
        <v>15</v>
      </c>
      <c r="F23" s="10">
        <f t="shared" si="2"/>
        <v>216000</v>
      </c>
      <c r="G23" s="89">
        <v>0</v>
      </c>
      <c r="H23" s="90">
        <v>13</v>
      </c>
      <c r="I23" s="58">
        <f t="shared" si="3"/>
        <v>7800</v>
      </c>
      <c r="J23" s="11">
        <f t="shared" si="4"/>
        <v>208200</v>
      </c>
      <c r="K23" s="158"/>
      <c r="L23" s="154"/>
      <c r="M23" s="4"/>
      <c r="N23" s="95"/>
      <c r="O23" s="23" t="str">
        <f t="shared" si="0"/>
        <v>Manquehuito</v>
      </c>
      <c r="P23" s="24"/>
      <c r="Q23" s="25">
        <v>1000</v>
      </c>
      <c r="R23" s="32">
        <f t="shared" si="5"/>
        <v>66.666666666666657</v>
      </c>
      <c r="S23" s="26">
        <f t="shared" si="1"/>
        <v>400</v>
      </c>
      <c r="T23" s="131"/>
    </row>
    <row r="24" spans="1:20" s="1" customFormat="1" ht="23.1" customHeight="1" x14ac:dyDescent="0.3">
      <c r="A24" s="3" t="s">
        <v>46</v>
      </c>
      <c r="B24" s="9" t="s">
        <v>18</v>
      </c>
      <c r="C24" s="10">
        <v>3000</v>
      </c>
      <c r="D24" s="10">
        <v>12</v>
      </c>
      <c r="E24" s="10">
        <v>1</v>
      </c>
      <c r="F24" s="10">
        <f t="shared" si="2"/>
        <v>36000</v>
      </c>
      <c r="G24" s="89">
        <v>1</v>
      </c>
      <c r="H24" s="90">
        <v>0</v>
      </c>
      <c r="I24" s="58">
        <f t="shared" si="3"/>
        <v>36000</v>
      </c>
      <c r="J24" s="11">
        <f t="shared" si="4"/>
        <v>0</v>
      </c>
      <c r="K24" s="158"/>
      <c r="L24" s="154"/>
      <c r="M24" s="4"/>
      <c r="N24" s="95"/>
      <c r="O24" s="23" t="str">
        <f t="shared" si="0"/>
        <v>Mango Sour</v>
      </c>
      <c r="P24" s="24"/>
      <c r="Q24" s="25">
        <v>5000</v>
      </c>
      <c r="R24" s="32">
        <f t="shared" si="5"/>
        <v>66.666666666666657</v>
      </c>
      <c r="S24" s="26">
        <f t="shared" si="1"/>
        <v>2000</v>
      </c>
      <c r="T24" s="131"/>
    </row>
    <row r="25" spans="1:20" s="1" customFormat="1" ht="23.1" customHeight="1" x14ac:dyDescent="0.3">
      <c r="A25" s="3" t="s">
        <v>46</v>
      </c>
      <c r="B25" s="9" t="s">
        <v>19</v>
      </c>
      <c r="C25" s="10">
        <v>3000</v>
      </c>
      <c r="D25" s="10">
        <v>12</v>
      </c>
      <c r="E25" s="10">
        <v>1</v>
      </c>
      <c r="F25" s="10">
        <f t="shared" si="2"/>
        <v>36000</v>
      </c>
      <c r="G25" s="89">
        <v>0</v>
      </c>
      <c r="H25" s="90">
        <v>2</v>
      </c>
      <c r="I25" s="58">
        <f t="shared" si="3"/>
        <v>6000</v>
      </c>
      <c r="J25" s="11">
        <f t="shared" si="4"/>
        <v>30000</v>
      </c>
      <c r="K25" s="158"/>
      <c r="L25" s="154"/>
      <c r="M25" s="4"/>
      <c r="N25" s="95"/>
      <c r="O25" s="23" t="str">
        <f t="shared" si="0"/>
        <v>Pisco Sour</v>
      </c>
      <c r="P25" s="24"/>
      <c r="Q25" s="25">
        <v>5000</v>
      </c>
      <c r="R25" s="32">
        <f t="shared" si="5"/>
        <v>66.666666666666657</v>
      </c>
      <c r="S25" s="26">
        <f t="shared" si="1"/>
        <v>2000</v>
      </c>
      <c r="T25" s="131"/>
    </row>
    <row r="26" spans="1:20" s="1" customFormat="1" ht="23.1" customHeight="1" x14ac:dyDescent="0.3">
      <c r="A26" s="3" t="s">
        <v>46</v>
      </c>
      <c r="B26" s="9" t="s">
        <v>21</v>
      </c>
      <c r="C26" s="10">
        <v>3500</v>
      </c>
      <c r="D26" s="10">
        <v>10</v>
      </c>
      <c r="E26" s="10">
        <v>4</v>
      </c>
      <c r="F26" s="10">
        <f t="shared" si="2"/>
        <v>140000</v>
      </c>
      <c r="G26" s="89">
        <v>3</v>
      </c>
      <c r="H26" s="90">
        <v>0</v>
      </c>
      <c r="I26" s="58">
        <f t="shared" si="3"/>
        <v>105000</v>
      </c>
      <c r="J26" s="11">
        <f t="shared" si="4"/>
        <v>35000</v>
      </c>
      <c r="K26" s="158"/>
      <c r="L26" s="154"/>
      <c r="M26" s="4"/>
      <c r="N26" s="95"/>
      <c r="O26" s="23" t="str">
        <f t="shared" si="0"/>
        <v>Lucky Strike</v>
      </c>
      <c r="P26" s="24"/>
      <c r="Q26" s="25">
        <v>4000</v>
      </c>
      <c r="R26" s="32">
        <f t="shared" si="5"/>
        <v>14.285714285714285</v>
      </c>
      <c r="S26" s="26">
        <f t="shared" si="1"/>
        <v>500</v>
      </c>
      <c r="T26" s="131"/>
    </row>
    <row r="27" spans="1:20" s="1" customFormat="1" ht="23.1" customHeight="1" x14ac:dyDescent="0.3">
      <c r="A27" s="3" t="s">
        <v>46</v>
      </c>
      <c r="B27" s="9" t="s">
        <v>22</v>
      </c>
      <c r="C27" s="10">
        <v>3100</v>
      </c>
      <c r="D27" s="10">
        <v>10</v>
      </c>
      <c r="E27" s="10">
        <v>4</v>
      </c>
      <c r="F27" s="10">
        <f t="shared" si="2"/>
        <v>124000</v>
      </c>
      <c r="G27" s="89">
        <v>3</v>
      </c>
      <c r="H27" s="90">
        <v>8</v>
      </c>
      <c r="I27" s="58">
        <f t="shared" si="3"/>
        <v>117800</v>
      </c>
      <c r="J27" s="11">
        <f t="shared" si="4"/>
        <v>6200</v>
      </c>
      <c r="K27" s="158"/>
      <c r="L27" s="154"/>
      <c r="M27" s="4"/>
      <c r="N27" s="95"/>
      <c r="O27" s="23" t="str">
        <f t="shared" si="0"/>
        <v>Ken Azul</v>
      </c>
      <c r="P27" s="24"/>
      <c r="Q27" s="25">
        <v>3500</v>
      </c>
      <c r="R27" s="32">
        <f t="shared" si="5"/>
        <v>12.903225806451612</v>
      </c>
      <c r="S27" s="26">
        <f t="shared" si="1"/>
        <v>400</v>
      </c>
      <c r="T27" s="131"/>
    </row>
    <row r="28" spans="1:20" s="1" customFormat="1" ht="23.1" customHeight="1" x14ac:dyDescent="0.3">
      <c r="A28" s="3" t="s">
        <v>46</v>
      </c>
      <c r="B28" s="9" t="s">
        <v>23</v>
      </c>
      <c r="C28" s="10">
        <v>3400</v>
      </c>
      <c r="D28" s="10">
        <v>10</v>
      </c>
      <c r="E28" s="10">
        <v>2</v>
      </c>
      <c r="F28" s="10">
        <f t="shared" si="2"/>
        <v>68000</v>
      </c>
      <c r="G28" s="89">
        <v>1</v>
      </c>
      <c r="H28" s="90">
        <v>4</v>
      </c>
      <c r="I28" s="58">
        <f t="shared" si="3"/>
        <v>47600</v>
      </c>
      <c r="J28" s="11">
        <f t="shared" si="4"/>
        <v>20400</v>
      </c>
      <c r="K28" s="158"/>
      <c r="L28" s="154"/>
      <c r="M28" s="4"/>
      <c r="N28" s="95"/>
      <c r="O28" s="23" t="str">
        <f t="shared" si="0"/>
        <v>Ken negro</v>
      </c>
      <c r="P28" s="24"/>
      <c r="Q28" s="25">
        <v>4000</v>
      </c>
      <c r="R28" s="32">
        <f t="shared" si="5"/>
        <v>17.647058823529413</v>
      </c>
      <c r="S28" s="26">
        <f t="shared" si="1"/>
        <v>600</v>
      </c>
      <c r="T28" s="131"/>
    </row>
    <row r="29" spans="1:20" s="1" customFormat="1" ht="23.1" customHeight="1" x14ac:dyDescent="0.3">
      <c r="A29" s="3" t="s">
        <v>46</v>
      </c>
      <c r="B29" s="9" t="s">
        <v>24</v>
      </c>
      <c r="C29" s="10">
        <v>2600</v>
      </c>
      <c r="D29" s="10">
        <v>10</v>
      </c>
      <c r="E29" s="10">
        <v>5</v>
      </c>
      <c r="F29" s="10">
        <f t="shared" si="2"/>
        <v>130000</v>
      </c>
      <c r="G29" s="89">
        <v>3</v>
      </c>
      <c r="H29" s="90">
        <v>5</v>
      </c>
      <c r="I29" s="58">
        <f t="shared" si="3"/>
        <v>91000</v>
      </c>
      <c r="J29" s="11">
        <f t="shared" si="4"/>
        <v>39000</v>
      </c>
      <c r="K29" s="158"/>
      <c r="L29" s="154"/>
      <c r="M29" s="4"/>
      <c r="N29" s="95"/>
      <c r="O29" s="23" t="str">
        <f t="shared" si="0"/>
        <v>Pall mall rojo azul</v>
      </c>
      <c r="P29" s="24"/>
      <c r="Q29" s="25">
        <v>3500</v>
      </c>
      <c r="R29" s="32">
        <f t="shared" si="5"/>
        <v>34.615384615384613</v>
      </c>
      <c r="S29" s="26">
        <f t="shared" si="1"/>
        <v>900</v>
      </c>
      <c r="T29" s="131"/>
    </row>
    <row r="30" spans="1:20" s="1" customFormat="1" ht="23.1" customHeight="1" x14ac:dyDescent="0.3">
      <c r="A30" s="3" t="s">
        <v>46</v>
      </c>
      <c r="B30" s="9" t="s">
        <v>25</v>
      </c>
      <c r="C30" s="10">
        <v>2900</v>
      </c>
      <c r="D30" s="10">
        <v>10</v>
      </c>
      <c r="E30" s="10">
        <v>4</v>
      </c>
      <c r="F30" s="10">
        <f t="shared" si="2"/>
        <v>116000</v>
      </c>
      <c r="G30" s="89">
        <v>2</v>
      </c>
      <c r="H30" s="90">
        <v>3</v>
      </c>
      <c r="I30" s="58">
        <f t="shared" si="3"/>
        <v>66700</v>
      </c>
      <c r="J30" s="11">
        <f t="shared" si="4"/>
        <v>49300</v>
      </c>
      <c r="K30" s="158"/>
      <c r="L30" s="154"/>
      <c r="M30" s="4"/>
      <c r="N30" s="95"/>
      <c r="O30" s="23" t="str">
        <f t="shared" si="0"/>
        <v>Pall verde click</v>
      </c>
      <c r="P30" s="24"/>
      <c r="Q30" s="25">
        <v>3500</v>
      </c>
      <c r="R30" s="32">
        <f t="shared" si="5"/>
        <v>20.689655172413794</v>
      </c>
      <c r="S30" s="26">
        <f t="shared" si="1"/>
        <v>600</v>
      </c>
      <c r="T30" s="131"/>
    </row>
    <row r="31" spans="1:20" ht="23.1" customHeight="1" x14ac:dyDescent="0.25">
      <c r="A31" s="3" t="s">
        <v>46</v>
      </c>
      <c r="B31" s="9" t="s">
        <v>29</v>
      </c>
      <c r="C31" s="10">
        <v>2800</v>
      </c>
      <c r="D31" s="10">
        <v>24</v>
      </c>
      <c r="E31" s="10">
        <v>2</v>
      </c>
      <c r="F31" s="10">
        <f t="shared" si="2"/>
        <v>134400</v>
      </c>
      <c r="G31" s="91">
        <v>1</v>
      </c>
      <c r="H31" s="92">
        <v>6</v>
      </c>
      <c r="I31" s="58">
        <f t="shared" si="3"/>
        <v>84000</v>
      </c>
      <c r="J31" s="11">
        <f t="shared" si="4"/>
        <v>50400</v>
      </c>
      <c r="K31" s="158"/>
      <c r="L31" s="154"/>
      <c r="M31" s="2"/>
      <c r="O31" s="23" t="str">
        <f t="shared" si="0"/>
        <v>Late Harvest</v>
      </c>
      <c r="P31" s="24"/>
      <c r="Q31" s="25">
        <v>3500</v>
      </c>
      <c r="R31" s="32">
        <f t="shared" si="5"/>
        <v>25</v>
      </c>
      <c r="S31" s="26">
        <f t="shared" si="1"/>
        <v>700</v>
      </c>
    </row>
    <row r="32" spans="1:20" ht="23.1" customHeight="1" x14ac:dyDescent="0.25">
      <c r="B32" s="72" t="s">
        <v>30</v>
      </c>
      <c r="C32" s="73">
        <v>1700</v>
      </c>
      <c r="D32" s="73">
        <v>12</v>
      </c>
      <c r="E32" s="10">
        <f>5+3</f>
        <v>8</v>
      </c>
      <c r="F32" s="10">
        <f t="shared" si="2"/>
        <v>163200</v>
      </c>
      <c r="G32" s="91">
        <v>1</v>
      </c>
      <c r="H32" s="92">
        <v>11</v>
      </c>
      <c r="I32" s="58">
        <f t="shared" ref="I32" si="6">+(G32*D32*C32)+(C32*H32)</f>
        <v>39100</v>
      </c>
      <c r="J32" s="11">
        <f t="shared" si="4"/>
        <v>124100</v>
      </c>
      <c r="K32" s="158"/>
      <c r="L32" s="154"/>
      <c r="M32" s="2"/>
      <c r="O32" s="23" t="str">
        <f t="shared" si="0"/>
        <v>Vino Santa Emiliana</v>
      </c>
      <c r="P32" s="75"/>
      <c r="Q32" s="76"/>
      <c r="R32" s="77"/>
      <c r="S32" s="78"/>
    </row>
    <row r="33" spans="1:19" ht="23.1" customHeight="1" x14ac:dyDescent="0.25">
      <c r="B33" s="72" t="s">
        <v>97</v>
      </c>
      <c r="C33" s="73">
        <v>480</v>
      </c>
      <c r="D33" s="73">
        <v>24</v>
      </c>
      <c r="E33" s="10">
        <v>2</v>
      </c>
      <c r="F33" s="10">
        <f t="shared" ref="F33" si="7">+E33*D33*C33</f>
        <v>23040</v>
      </c>
      <c r="G33" s="12">
        <v>0</v>
      </c>
      <c r="H33" s="59">
        <v>0</v>
      </c>
      <c r="I33" s="58">
        <f t="shared" ref="I33" si="8">+(G33*D33*C33)+(C33*H33)</f>
        <v>0</v>
      </c>
      <c r="J33" s="11">
        <f t="shared" ref="J33" si="9">+F33-I33</f>
        <v>23040</v>
      </c>
      <c r="K33" s="158"/>
      <c r="L33" s="154"/>
      <c r="M33" s="2"/>
      <c r="O33" s="74" t="str">
        <f t="shared" si="0"/>
        <v>Caja undividual</v>
      </c>
      <c r="P33" s="75"/>
      <c r="Q33" s="76"/>
      <c r="R33" s="77"/>
      <c r="S33" s="78"/>
    </row>
    <row r="34" spans="1:19" ht="23.1" customHeight="1" thickBot="1" x14ac:dyDescent="0.3">
      <c r="A34" s="3" t="s">
        <v>46</v>
      </c>
      <c r="B34" s="13" t="s">
        <v>96</v>
      </c>
      <c r="C34" s="14">
        <v>480</v>
      </c>
      <c r="D34" s="14">
        <v>24</v>
      </c>
      <c r="E34" s="10">
        <f>2+2</f>
        <v>4</v>
      </c>
      <c r="F34" s="10">
        <f t="shared" si="2"/>
        <v>46080</v>
      </c>
      <c r="G34" s="93">
        <v>3</v>
      </c>
      <c r="H34" s="94">
        <v>0</v>
      </c>
      <c r="I34" s="58">
        <f t="shared" si="3"/>
        <v>34560</v>
      </c>
      <c r="J34" s="11">
        <f t="shared" si="4"/>
        <v>11520</v>
      </c>
      <c r="K34" s="158"/>
      <c r="L34" s="154"/>
      <c r="M34" s="2"/>
      <c r="O34" s="27" t="str">
        <f t="shared" si="0"/>
        <v>Cerveza sin alcohol</v>
      </c>
      <c r="P34" s="28"/>
      <c r="Q34" s="29">
        <v>1000</v>
      </c>
      <c r="R34" s="33">
        <f>+S34/C34*100</f>
        <v>108.33333333333333</v>
      </c>
      <c r="S34" s="30">
        <f t="shared" si="1"/>
        <v>520</v>
      </c>
    </row>
    <row r="35" spans="1:19" x14ac:dyDescent="0.25">
      <c r="A35" s="3" t="s">
        <v>46</v>
      </c>
      <c r="R35" s="34" t="s">
        <v>46</v>
      </c>
    </row>
    <row r="36" spans="1:19" x14ac:dyDescent="0.25">
      <c r="A36" s="3" t="s">
        <v>46</v>
      </c>
    </row>
    <row r="38" spans="1:19" ht="15.75" thickBot="1" x14ac:dyDescent="0.3">
      <c r="J38" s="347" t="s">
        <v>137</v>
      </c>
      <c r="K38" s="347"/>
    </row>
    <row r="39" spans="1:19" x14ac:dyDescent="0.25">
      <c r="B39" s="375" t="s">
        <v>98</v>
      </c>
      <c r="C39" s="367"/>
      <c r="D39" s="367"/>
      <c r="E39" s="367"/>
      <c r="F39" s="112">
        <v>138910</v>
      </c>
      <c r="J39" s="119">
        <v>10000</v>
      </c>
      <c r="K39" s="159">
        <v>1000000</v>
      </c>
      <c r="L39" s="151"/>
      <c r="M39" t="s">
        <v>46</v>
      </c>
    </row>
    <row r="40" spans="1:19" x14ac:dyDescent="0.25">
      <c r="B40" s="363" t="s">
        <v>99</v>
      </c>
      <c r="C40" s="364"/>
      <c r="D40" s="364"/>
      <c r="E40" s="364"/>
      <c r="F40" s="113">
        <v>35980</v>
      </c>
      <c r="J40" s="121">
        <v>1000</v>
      </c>
      <c r="K40" s="160">
        <v>250000</v>
      </c>
      <c r="L40" s="151"/>
      <c r="M40" t="s">
        <v>46</v>
      </c>
    </row>
    <row r="41" spans="1:19" x14ac:dyDescent="0.25">
      <c r="B41" s="363" t="s">
        <v>100</v>
      </c>
      <c r="C41" s="364"/>
      <c r="D41" s="364"/>
      <c r="E41" s="364"/>
      <c r="F41" s="113">
        <v>40000</v>
      </c>
      <c r="J41" s="121">
        <v>10000</v>
      </c>
      <c r="K41" s="160">
        <v>290000</v>
      </c>
      <c r="L41" s="151"/>
      <c r="M41" t="s">
        <v>46</v>
      </c>
      <c r="R41" s="111"/>
    </row>
    <row r="42" spans="1:19" x14ac:dyDescent="0.25">
      <c r="B42" s="363" t="s">
        <v>101</v>
      </c>
      <c r="C42" s="364"/>
      <c r="D42" s="364"/>
      <c r="E42" s="364"/>
      <c r="F42" s="113">
        <v>6000</v>
      </c>
      <c r="J42" s="121">
        <v>100</v>
      </c>
      <c r="K42" s="160">
        <v>59900</v>
      </c>
      <c r="L42" s="151"/>
      <c r="M42" t="s">
        <v>46</v>
      </c>
      <c r="R42" s="111"/>
    </row>
    <row r="43" spans="1:19" x14ac:dyDescent="0.25">
      <c r="B43" s="363" t="s">
        <v>102</v>
      </c>
      <c r="C43" s="364"/>
      <c r="D43" s="364"/>
      <c r="E43" s="364"/>
      <c r="F43" s="113">
        <v>8400</v>
      </c>
      <c r="J43" s="121">
        <v>500</v>
      </c>
      <c r="K43" s="160">
        <v>90500</v>
      </c>
      <c r="L43" s="151"/>
      <c r="M43" t="s">
        <v>46</v>
      </c>
      <c r="R43" s="111"/>
    </row>
    <row r="44" spans="1:19" x14ac:dyDescent="0.25">
      <c r="B44" s="363" t="s">
        <v>103</v>
      </c>
      <c r="C44" s="364"/>
      <c r="D44" s="364"/>
      <c r="E44" s="364"/>
      <c r="F44" s="113">
        <v>20640</v>
      </c>
      <c r="J44" s="121">
        <v>50</v>
      </c>
      <c r="K44" s="160">
        <v>13050</v>
      </c>
      <c r="L44" s="151"/>
      <c r="M44" t="s">
        <v>46</v>
      </c>
      <c r="O44" t="s">
        <v>46</v>
      </c>
      <c r="R44" s="111"/>
    </row>
    <row r="45" spans="1:19" x14ac:dyDescent="0.25">
      <c r="B45" s="365" t="s">
        <v>104</v>
      </c>
      <c r="C45" s="366"/>
      <c r="D45" s="366"/>
      <c r="E45" s="366"/>
      <c r="F45" s="114">
        <v>5200</v>
      </c>
      <c r="J45" s="121">
        <v>10</v>
      </c>
      <c r="K45" s="160">
        <v>20</v>
      </c>
      <c r="L45" s="151"/>
      <c r="R45" s="111"/>
    </row>
    <row r="46" spans="1:19" x14ac:dyDescent="0.25">
      <c r="B46" s="98"/>
      <c r="C46" s="99"/>
      <c r="D46" s="99"/>
      <c r="E46" s="99"/>
      <c r="F46" s="71">
        <f>SUM(F39:F45)</f>
        <v>255130</v>
      </c>
      <c r="J46" s="121" t="s">
        <v>46</v>
      </c>
      <c r="K46" s="161">
        <f>SUM(K39:K45)</f>
        <v>1703470</v>
      </c>
      <c r="L46" s="151"/>
      <c r="R46" s="111"/>
    </row>
    <row r="47" spans="1:19" x14ac:dyDescent="0.25">
      <c r="B47" s="367" t="s">
        <v>146</v>
      </c>
      <c r="C47" s="367"/>
      <c r="D47" s="367"/>
      <c r="E47" s="367"/>
      <c r="F47" s="112">
        <v>15000</v>
      </c>
      <c r="J47" s="121" t="s">
        <v>46</v>
      </c>
      <c r="K47" s="160"/>
      <c r="L47" s="151"/>
      <c r="R47" s="111"/>
    </row>
    <row r="48" spans="1:19" x14ac:dyDescent="0.25">
      <c r="B48" s="364" t="s">
        <v>147</v>
      </c>
      <c r="C48" s="364"/>
      <c r="D48" s="364"/>
      <c r="E48" s="364"/>
      <c r="F48" s="113">
        <v>10000</v>
      </c>
      <c r="J48" s="121" t="s">
        <v>46</v>
      </c>
      <c r="K48" s="160" t="s">
        <v>46</v>
      </c>
      <c r="L48" s="151"/>
      <c r="R48" s="111"/>
    </row>
    <row r="49" spans="2:19" x14ac:dyDescent="0.25">
      <c r="B49" s="366" t="s">
        <v>106</v>
      </c>
      <c r="C49" s="366"/>
      <c r="D49" s="366"/>
      <c r="E49" s="366"/>
      <c r="F49" s="114">
        <f>+J2</f>
        <v>3326100</v>
      </c>
      <c r="J49" s="121" t="s">
        <v>46</v>
      </c>
      <c r="K49" s="160" t="s">
        <v>46</v>
      </c>
      <c r="L49" s="151"/>
      <c r="R49" s="111"/>
    </row>
    <row r="50" spans="2:19" x14ac:dyDescent="0.25">
      <c r="B50" s="115"/>
      <c r="C50" s="115"/>
      <c r="D50" s="115"/>
      <c r="E50" s="115"/>
      <c r="F50" s="116">
        <f>SUM(F47:F49)</f>
        <v>3351100</v>
      </c>
      <c r="J50" s="121" t="s">
        <v>46</v>
      </c>
      <c r="K50" s="160" t="s">
        <v>46</v>
      </c>
      <c r="L50" s="151"/>
      <c r="R50" s="111"/>
    </row>
    <row r="51" spans="2:19" x14ac:dyDescent="0.25">
      <c r="B51" s="368" t="s">
        <v>133</v>
      </c>
      <c r="C51" s="368"/>
      <c r="D51" s="368"/>
      <c r="E51" s="368"/>
      <c r="F51" s="117">
        <f>Horas!$H$42</f>
        <v>626536.8055555555</v>
      </c>
      <c r="J51" s="121" t="s">
        <v>46</v>
      </c>
      <c r="K51" s="161" t="s">
        <v>46</v>
      </c>
      <c r="L51" s="151" t="s">
        <v>46</v>
      </c>
      <c r="R51" s="111"/>
    </row>
    <row r="52" spans="2:19" ht="15.75" thickBot="1" x14ac:dyDescent="0.3">
      <c r="B52" s="85"/>
      <c r="C52" s="85"/>
      <c r="D52" s="85"/>
      <c r="E52" s="85"/>
      <c r="F52" s="71">
        <f>SUM(F51)</f>
        <v>626536.8055555555</v>
      </c>
      <c r="J52" s="121" t="s">
        <v>46</v>
      </c>
      <c r="K52" s="162" t="s">
        <v>46</v>
      </c>
      <c r="L52" s="151"/>
      <c r="M52" t="s">
        <v>46</v>
      </c>
      <c r="R52" s="111"/>
    </row>
    <row r="53" spans="2:19" ht="15.75" thickBot="1" x14ac:dyDescent="0.3">
      <c r="B53" s="369" t="s">
        <v>105</v>
      </c>
      <c r="C53" s="370"/>
      <c r="D53" s="370"/>
      <c r="E53" s="370"/>
      <c r="F53" s="118">
        <f>+F46+F50+F52</f>
        <v>4232766.805555556</v>
      </c>
      <c r="J53" s="121" t="s">
        <v>138</v>
      </c>
      <c r="K53" s="160">
        <f>+F46</f>
        <v>255130</v>
      </c>
      <c r="L53" s="151"/>
      <c r="M53" t="s">
        <v>46</v>
      </c>
      <c r="R53" s="111"/>
    </row>
    <row r="54" spans="2:19" x14ac:dyDescent="0.25">
      <c r="F54" s="71"/>
      <c r="J54" s="121" t="s">
        <v>106</v>
      </c>
      <c r="K54" s="160">
        <v>3081100</v>
      </c>
      <c r="M54" s="71" t="s">
        <v>46</v>
      </c>
      <c r="O54" s="4" t="s">
        <v>46</v>
      </c>
      <c r="R54" s="111"/>
      <c r="S54" s="4"/>
    </row>
    <row r="55" spans="2:19" ht="15.75" thickBot="1" x14ac:dyDescent="0.3">
      <c r="F55" s="71"/>
      <c r="J55" s="123"/>
      <c r="K55" s="163"/>
      <c r="O55" s="4" t="s">
        <v>46</v>
      </c>
      <c r="R55" s="111"/>
      <c r="S55" s="4"/>
    </row>
    <row r="56" spans="2:19" ht="15.75" thickBot="1" x14ac:dyDescent="0.3">
      <c r="B56" t="s">
        <v>46</v>
      </c>
      <c r="F56" s="71"/>
      <c r="J56" s="125" t="s">
        <v>109</v>
      </c>
      <c r="K56" s="164">
        <f>SUM(K39:K45)+SUM(K52:K54)</f>
        <v>5039700</v>
      </c>
      <c r="L56" s="151"/>
      <c r="M56" t="s">
        <v>46</v>
      </c>
      <c r="O56" s="4" t="s">
        <v>46</v>
      </c>
      <c r="R56" s="111"/>
      <c r="S56" s="4"/>
    </row>
    <row r="57" spans="2:19" x14ac:dyDescent="0.25">
      <c r="B57" t="s">
        <v>46</v>
      </c>
      <c r="D57" s="358" t="s">
        <v>134</v>
      </c>
      <c r="E57" s="358"/>
      <c r="F57" s="358"/>
      <c r="G57" s="361">
        <f>+K56</f>
        <v>5039700</v>
      </c>
      <c r="H57" s="358"/>
      <c r="J57" s="4"/>
      <c r="K57" s="165"/>
      <c r="O57" s="4" t="s">
        <v>46</v>
      </c>
      <c r="R57" s="111"/>
      <c r="S57" s="4"/>
    </row>
    <row r="58" spans="2:19" x14ac:dyDescent="0.25">
      <c r="B58" t="s">
        <v>46</v>
      </c>
      <c r="D58" s="358" t="s">
        <v>135</v>
      </c>
      <c r="E58" s="358"/>
      <c r="F58" s="358"/>
      <c r="G58" s="361">
        <f>+F46+F50</f>
        <v>3606230</v>
      </c>
      <c r="H58" s="358"/>
      <c r="J58" s="4"/>
      <c r="K58" s="165"/>
      <c r="L58" s="151"/>
      <c r="M58" t="s">
        <v>46</v>
      </c>
      <c r="R58" s="111"/>
      <c r="S58" s="4"/>
    </row>
    <row r="59" spans="2:19" x14ac:dyDescent="0.25">
      <c r="D59" s="358" t="s">
        <v>141</v>
      </c>
      <c r="E59" s="358"/>
      <c r="F59" s="358"/>
      <c r="G59" s="361">
        <f>+G57-G58</f>
        <v>1433470</v>
      </c>
      <c r="H59" s="358"/>
      <c r="J59" s="4"/>
      <c r="K59" s="165" t="s">
        <v>46</v>
      </c>
      <c r="R59" s="111"/>
      <c r="S59" s="4"/>
    </row>
    <row r="60" spans="2:19" x14ac:dyDescent="0.25">
      <c r="C60">
        <f>+G60/2500</f>
        <v>250.61472222222221</v>
      </c>
      <c r="D60" s="360" t="s">
        <v>133</v>
      </c>
      <c r="E60" s="360"/>
      <c r="F60" s="360"/>
      <c r="G60" s="361">
        <f>+F52</f>
        <v>626536.8055555555</v>
      </c>
      <c r="H60" s="358"/>
      <c r="J60" s="358" t="s">
        <v>143</v>
      </c>
      <c r="K60" s="358"/>
      <c r="R60" s="111"/>
      <c r="S60" s="4"/>
    </row>
    <row r="61" spans="2:19" x14ac:dyDescent="0.25">
      <c r="D61" s="360" t="s">
        <v>142</v>
      </c>
      <c r="E61" s="360"/>
      <c r="F61" s="360"/>
      <c r="H61" s="71">
        <f>+G59-G60</f>
        <v>806933.1944444445</v>
      </c>
      <c r="J61" s="358" t="s">
        <v>144</v>
      </c>
      <c r="K61" s="358"/>
      <c r="L61" s="156">
        <f>+G60/G59</f>
        <v>0.4370770267641147</v>
      </c>
      <c r="O61" s="2" t="s">
        <v>46</v>
      </c>
      <c r="R61" s="111"/>
      <c r="S61" s="4"/>
    </row>
    <row r="62" spans="2:19" x14ac:dyDescent="0.25">
      <c r="J62" s="358" t="s">
        <v>145</v>
      </c>
      <c r="K62" s="358"/>
      <c r="L62" s="156">
        <f>100%-L61</f>
        <v>0.56292297323588536</v>
      </c>
    </row>
    <row r="63" spans="2:19" x14ac:dyDescent="0.25">
      <c r="J63" s="358" t="s">
        <v>46</v>
      </c>
      <c r="K63" s="358"/>
      <c r="L63" s="155" t="s">
        <v>46</v>
      </c>
    </row>
    <row r="64" spans="2:19" x14ac:dyDescent="0.25">
      <c r="J64" s="358" t="s">
        <v>46</v>
      </c>
      <c r="K64" s="358"/>
    </row>
    <row r="65" spans="8:12" x14ac:dyDescent="0.25">
      <c r="H65" s="71" t="s">
        <v>46</v>
      </c>
      <c r="J65" s="381">
        <f>+K56</f>
        <v>5039700</v>
      </c>
      <c r="K65" s="382"/>
      <c r="L65" s="156"/>
    </row>
    <row r="66" spans="8:12" x14ac:dyDescent="0.25">
      <c r="J66" s="381">
        <f>-F49</f>
        <v>-3326100</v>
      </c>
      <c r="K66" s="382"/>
      <c r="L66" s="156" t="s">
        <v>46</v>
      </c>
    </row>
    <row r="67" spans="8:12" x14ac:dyDescent="0.25">
      <c r="J67" s="381">
        <f>+J66+J65</f>
        <v>1713600</v>
      </c>
      <c r="K67" s="382"/>
      <c r="L67" s="156">
        <f>+J67/J66*-1</f>
        <v>0.51519797961576619</v>
      </c>
    </row>
    <row r="68" spans="8:12" x14ac:dyDescent="0.25">
      <c r="J68" s="71" t="s">
        <v>46</v>
      </c>
    </row>
  </sheetData>
  <mergeCells count="32">
    <mergeCell ref="J38:K38"/>
    <mergeCell ref="B53:E53"/>
    <mergeCell ref="B42:E42"/>
    <mergeCell ref="B43:E43"/>
    <mergeCell ref="B44:E44"/>
    <mergeCell ref="B45:E45"/>
    <mergeCell ref="B47:E47"/>
    <mergeCell ref="B48:E48"/>
    <mergeCell ref="B49:E49"/>
    <mergeCell ref="B51:E51"/>
    <mergeCell ref="G3:I3"/>
    <mergeCell ref="C3:F3"/>
    <mergeCell ref="B39:E39"/>
    <mergeCell ref="B40:E40"/>
    <mergeCell ref="B41:E41"/>
    <mergeCell ref="D57:F57"/>
    <mergeCell ref="G57:H57"/>
    <mergeCell ref="D58:F58"/>
    <mergeCell ref="G58:H58"/>
    <mergeCell ref="D59:F59"/>
    <mergeCell ref="G59:H59"/>
    <mergeCell ref="J60:K60"/>
    <mergeCell ref="J61:K61"/>
    <mergeCell ref="J62:K62"/>
    <mergeCell ref="J63:K63"/>
    <mergeCell ref="D60:F60"/>
    <mergeCell ref="G60:H60"/>
    <mergeCell ref="J64:K64"/>
    <mergeCell ref="J65:K65"/>
    <mergeCell ref="J66:K66"/>
    <mergeCell ref="J67:K67"/>
    <mergeCell ref="D61:F61"/>
  </mergeCells>
  <pageMargins left="0.7" right="0.7" top="0.75" bottom="0.75" header="0.3" footer="0.3"/>
  <pageSetup paperSize="11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zoomScale="90" zoomScaleNormal="90" workbookViewId="0">
      <selection activeCell="M14" sqref="M14"/>
    </sheetView>
  </sheetViews>
  <sheetFormatPr baseColWidth="10" defaultColWidth="11.5703125" defaultRowHeight="15" x14ac:dyDescent="0.25"/>
  <cols>
    <col min="1" max="1" width="19.42578125" customWidth="1"/>
  </cols>
  <sheetData>
    <row r="2" spans="1:11" s="16" customFormat="1" ht="24" customHeight="1" x14ac:dyDescent="0.25">
      <c r="A2" s="17"/>
      <c r="B2" s="334" t="s">
        <v>35</v>
      </c>
      <c r="C2" s="334"/>
      <c r="D2" s="334" t="s">
        <v>36</v>
      </c>
      <c r="E2" s="334"/>
      <c r="F2" s="334" t="s">
        <v>36</v>
      </c>
      <c r="G2" s="334"/>
      <c r="H2" s="334" t="s">
        <v>37</v>
      </c>
      <c r="I2" s="334"/>
      <c r="J2" s="334" t="s">
        <v>37</v>
      </c>
      <c r="K2" s="334"/>
    </row>
    <row r="3" spans="1:11" s="16" customFormat="1" ht="24" customHeight="1" x14ac:dyDescent="0.25">
      <c r="A3" s="17"/>
      <c r="B3" s="348" t="s">
        <v>31</v>
      </c>
      <c r="C3" s="348"/>
      <c r="D3" s="348" t="s">
        <v>34</v>
      </c>
      <c r="E3" s="348"/>
      <c r="F3" s="348" t="s">
        <v>32</v>
      </c>
      <c r="G3" s="348"/>
      <c r="H3" s="348" t="s">
        <v>38</v>
      </c>
      <c r="I3" s="348"/>
      <c r="J3" s="348" t="s">
        <v>33</v>
      </c>
      <c r="K3" s="348"/>
    </row>
    <row r="4" spans="1:11" ht="24" customHeight="1" x14ac:dyDescent="0.25">
      <c r="B4" s="386"/>
      <c r="C4" s="386"/>
      <c r="D4" s="386"/>
      <c r="E4" s="386"/>
      <c r="F4" s="386"/>
      <c r="G4" s="386"/>
      <c r="H4" s="386"/>
      <c r="I4" s="386"/>
      <c r="J4" s="386"/>
      <c r="K4" s="386"/>
    </row>
    <row r="5" spans="1:11" ht="24" customHeight="1" x14ac:dyDescent="0.25">
      <c r="B5" s="348" t="s">
        <v>39</v>
      </c>
      <c r="C5" s="348"/>
      <c r="D5" s="348" t="s">
        <v>41</v>
      </c>
      <c r="E5" s="348"/>
      <c r="F5" s="348"/>
      <c r="G5" s="348"/>
      <c r="H5" s="348" t="s">
        <v>44</v>
      </c>
      <c r="I5" s="348"/>
      <c r="J5" s="348" t="s">
        <v>44</v>
      </c>
      <c r="K5" s="348"/>
    </row>
    <row r="6" spans="1:11" ht="24" customHeight="1" x14ac:dyDescent="0.25">
      <c r="B6" s="387" t="s">
        <v>40</v>
      </c>
      <c r="C6" s="387"/>
      <c r="D6" s="348" t="s">
        <v>57</v>
      </c>
      <c r="E6" s="348"/>
      <c r="F6" s="348"/>
      <c r="G6" s="348"/>
      <c r="H6" s="348" t="s">
        <v>46</v>
      </c>
      <c r="I6" s="348"/>
      <c r="J6" s="348" t="s">
        <v>62</v>
      </c>
      <c r="K6" s="348"/>
    </row>
    <row r="7" spans="1:11" ht="24" customHeight="1" x14ac:dyDescent="0.25">
      <c r="B7" s="348" t="s">
        <v>56</v>
      </c>
      <c r="C7" s="348"/>
      <c r="D7" s="348"/>
      <c r="E7" s="348"/>
      <c r="F7" s="348" t="s">
        <v>51</v>
      </c>
      <c r="G7" s="348"/>
      <c r="H7" s="348"/>
      <c r="I7" s="348"/>
      <c r="J7" s="348" t="s">
        <v>51</v>
      </c>
      <c r="K7" s="348"/>
    </row>
    <row r="8" spans="1:11" ht="24" customHeight="1" x14ac:dyDescent="0.25">
      <c r="B8" s="348" t="s">
        <v>47</v>
      </c>
      <c r="C8" s="348"/>
      <c r="D8" s="348"/>
      <c r="E8" s="348"/>
      <c r="F8" s="348" t="s">
        <v>47</v>
      </c>
      <c r="G8" s="348"/>
      <c r="H8" s="348"/>
      <c r="I8" s="348"/>
      <c r="J8" s="348" t="s">
        <v>47</v>
      </c>
      <c r="K8" s="348"/>
    </row>
    <row r="9" spans="1:11" ht="24" customHeight="1" x14ac:dyDescent="0.25">
      <c r="B9" s="348" t="s">
        <v>42</v>
      </c>
      <c r="C9" s="348"/>
      <c r="D9" s="348" t="s">
        <v>46</v>
      </c>
      <c r="E9" s="348"/>
      <c r="F9" s="348" t="s">
        <v>43</v>
      </c>
      <c r="G9" s="348"/>
      <c r="H9" s="348"/>
      <c r="I9" s="348"/>
      <c r="J9" s="348" t="s">
        <v>53</v>
      </c>
      <c r="K9" s="348"/>
    </row>
    <row r="10" spans="1:11" ht="24" customHeight="1" x14ac:dyDescent="0.25">
      <c r="B10" s="348" t="s">
        <v>45</v>
      </c>
      <c r="C10" s="348"/>
      <c r="D10" s="348"/>
      <c r="E10" s="348"/>
      <c r="F10" s="348" t="s">
        <v>60</v>
      </c>
      <c r="G10" s="348"/>
      <c r="H10" s="348"/>
      <c r="I10" s="348"/>
      <c r="J10" s="348" t="s">
        <v>61</v>
      </c>
      <c r="K10" s="348"/>
    </row>
    <row r="11" spans="1:11" ht="24" customHeight="1" x14ac:dyDescent="0.25">
      <c r="B11" s="348" t="s">
        <v>48</v>
      </c>
      <c r="C11" s="348"/>
      <c r="D11" s="348"/>
      <c r="E11" s="348"/>
      <c r="F11" s="348" t="s">
        <v>49</v>
      </c>
      <c r="G11" s="348"/>
      <c r="H11" s="348"/>
      <c r="I11" s="348"/>
      <c r="J11" s="348" t="s">
        <v>50</v>
      </c>
      <c r="K11" s="348"/>
    </row>
    <row r="12" spans="1:11" ht="24" customHeight="1" x14ac:dyDescent="0.25">
      <c r="B12" s="348" t="s">
        <v>52</v>
      </c>
      <c r="C12" s="348"/>
      <c r="D12" s="348"/>
      <c r="E12" s="348"/>
      <c r="F12" s="348" t="s">
        <v>52</v>
      </c>
      <c r="G12" s="348"/>
      <c r="H12" s="348"/>
      <c r="I12" s="348"/>
      <c r="J12" s="348" t="s">
        <v>52</v>
      </c>
      <c r="K12" s="348"/>
    </row>
    <row r="13" spans="1:11" ht="24" customHeight="1" x14ac:dyDescent="0.25">
      <c r="B13" s="348" t="s">
        <v>54</v>
      </c>
      <c r="C13" s="348"/>
      <c r="D13" s="348"/>
      <c r="E13" s="348"/>
      <c r="F13" s="348" t="s">
        <v>54</v>
      </c>
      <c r="G13" s="348"/>
      <c r="H13" s="348"/>
      <c r="I13" s="348"/>
      <c r="J13" s="348" t="s">
        <v>54</v>
      </c>
      <c r="K13" s="348"/>
    </row>
    <row r="14" spans="1:11" ht="24" customHeight="1" x14ac:dyDescent="0.25">
      <c r="B14" s="386"/>
      <c r="C14" s="386"/>
      <c r="D14" s="386"/>
      <c r="E14" s="386"/>
      <c r="F14" s="386"/>
      <c r="G14" s="386"/>
      <c r="H14" s="386"/>
      <c r="I14" s="386"/>
      <c r="J14" s="386" t="s">
        <v>69</v>
      </c>
      <c r="K14" s="386"/>
    </row>
    <row r="15" spans="1:11" ht="24" customHeight="1" x14ac:dyDescent="0.25">
      <c r="B15" s="348" t="s">
        <v>55</v>
      </c>
      <c r="C15" s="348"/>
      <c r="D15" s="348"/>
      <c r="E15" s="348"/>
      <c r="F15" s="348" t="s">
        <v>55</v>
      </c>
      <c r="G15" s="348"/>
      <c r="H15" s="348"/>
      <c r="I15" s="348"/>
      <c r="J15" s="348" t="s">
        <v>55</v>
      </c>
      <c r="K15" s="348"/>
    </row>
    <row r="16" spans="1:11" ht="24" customHeight="1" x14ac:dyDescent="0.25">
      <c r="B16" s="348" t="s">
        <v>58</v>
      </c>
      <c r="C16" s="348"/>
      <c r="D16" s="348"/>
      <c r="E16" s="348"/>
      <c r="F16" s="348" t="s">
        <v>58</v>
      </c>
      <c r="G16" s="348"/>
      <c r="H16" s="348"/>
      <c r="I16" s="348"/>
      <c r="J16" s="348" t="s">
        <v>58</v>
      </c>
      <c r="K16" s="348"/>
    </row>
    <row r="17" spans="2:11" ht="24" customHeight="1" x14ac:dyDescent="0.25">
      <c r="B17" s="348" t="s">
        <v>53</v>
      </c>
      <c r="C17" s="348"/>
      <c r="D17" s="348"/>
      <c r="E17" s="348"/>
      <c r="F17" s="348" t="s">
        <v>53</v>
      </c>
      <c r="G17" s="348"/>
      <c r="H17" s="348"/>
      <c r="I17" s="348"/>
      <c r="J17" s="348" t="s">
        <v>53</v>
      </c>
      <c r="K17" s="348"/>
    </row>
    <row r="18" spans="2:11" ht="24" customHeight="1" x14ac:dyDescent="0.25">
      <c r="B18" s="348" t="s">
        <v>59</v>
      </c>
      <c r="C18" s="348"/>
      <c r="D18" s="348"/>
      <c r="E18" s="348"/>
      <c r="F18" s="348"/>
      <c r="G18" s="348"/>
      <c r="H18" s="348"/>
      <c r="I18" s="348"/>
      <c r="J18" s="348" t="s">
        <v>59</v>
      </c>
      <c r="K18" s="348"/>
    </row>
    <row r="19" spans="2:11" ht="24" customHeight="1" x14ac:dyDescent="0.25">
      <c r="B19" s="348" t="s">
        <v>63</v>
      </c>
      <c r="C19" s="348"/>
      <c r="D19" s="348"/>
      <c r="E19" s="348"/>
      <c r="F19" s="348" t="s">
        <v>63</v>
      </c>
      <c r="G19" s="348"/>
      <c r="H19" s="348"/>
      <c r="I19" s="348"/>
      <c r="J19" s="348" t="s">
        <v>63</v>
      </c>
      <c r="K19" s="348"/>
    </row>
    <row r="20" spans="2:11" ht="24" customHeight="1" x14ac:dyDescent="0.25">
      <c r="B20" s="348" t="s">
        <v>64</v>
      </c>
      <c r="C20" s="348"/>
      <c r="D20" s="348"/>
      <c r="E20" s="348"/>
      <c r="F20" s="348" t="s">
        <v>64</v>
      </c>
      <c r="G20" s="348"/>
      <c r="H20" s="348"/>
      <c r="I20" s="348"/>
      <c r="J20" s="348" t="s">
        <v>64</v>
      </c>
      <c r="K20" s="348"/>
    </row>
    <row r="21" spans="2:11" ht="24" customHeight="1" x14ac:dyDescent="0.25">
      <c r="B21" s="385" t="s">
        <v>65</v>
      </c>
      <c r="C21" s="385"/>
      <c r="D21" s="385"/>
      <c r="E21" s="385"/>
      <c r="F21" s="385" t="s">
        <v>67</v>
      </c>
      <c r="G21" s="385"/>
      <c r="H21" s="385"/>
      <c r="I21" s="385"/>
      <c r="J21" s="385" t="s">
        <v>67</v>
      </c>
      <c r="K21" s="385"/>
    </row>
    <row r="22" spans="2:11" ht="24" customHeight="1" x14ac:dyDescent="0.25">
      <c r="B22" s="384" t="s">
        <v>66</v>
      </c>
      <c r="C22" s="384"/>
      <c r="D22" s="384"/>
      <c r="E22" s="384"/>
      <c r="F22" s="384" t="s">
        <v>66</v>
      </c>
      <c r="G22" s="384"/>
      <c r="H22" s="384"/>
      <c r="I22" s="384"/>
      <c r="J22" s="384" t="s">
        <v>66</v>
      </c>
      <c r="K22" s="384"/>
    </row>
    <row r="23" spans="2:11" ht="27" customHeight="1" x14ac:dyDescent="0.25">
      <c r="B23" s="347"/>
      <c r="C23" s="347"/>
      <c r="D23" s="347"/>
      <c r="E23" s="347"/>
      <c r="F23" s="347"/>
      <c r="G23" s="347"/>
      <c r="H23" s="347"/>
      <c r="I23" s="347"/>
      <c r="J23" s="347"/>
      <c r="K23" s="347"/>
    </row>
    <row r="24" spans="2:11" ht="24.95" customHeight="1" x14ac:dyDescent="0.25">
      <c r="B24" s="347"/>
      <c r="C24" s="347"/>
      <c r="D24" s="347"/>
      <c r="E24" s="347"/>
      <c r="F24" s="347"/>
      <c r="G24" s="347"/>
      <c r="H24" s="347"/>
      <c r="I24" s="347"/>
      <c r="J24" s="347"/>
      <c r="K24" s="347"/>
    </row>
    <row r="25" spans="2:11" ht="24.95" customHeight="1" x14ac:dyDescent="0.25">
      <c r="B25" s="347"/>
      <c r="C25" s="347"/>
      <c r="D25" s="347"/>
      <c r="E25" s="347"/>
      <c r="F25" s="347"/>
      <c r="G25" s="347"/>
      <c r="H25" s="347"/>
      <c r="I25" s="347"/>
      <c r="J25" s="347"/>
      <c r="K25" s="347"/>
    </row>
    <row r="26" spans="2:11" ht="24.95" customHeight="1" x14ac:dyDescent="0.25"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2:11" ht="24.95" customHeight="1" x14ac:dyDescent="0.25">
      <c r="B27" s="347"/>
      <c r="C27" s="347"/>
      <c r="D27" s="347"/>
      <c r="E27" s="347"/>
      <c r="F27" s="347"/>
      <c r="G27" s="347"/>
      <c r="H27" s="347"/>
      <c r="I27" s="347"/>
      <c r="J27" s="347"/>
      <c r="K27" s="347"/>
    </row>
    <row r="28" spans="2:11" ht="24.95" customHeight="1" x14ac:dyDescent="0.25">
      <c r="B28" s="347"/>
      <c r="C28" s="347"/>
      <c r="D28" s="347"/>
      <c r="E28" s="347"/>
      <c r="F28" s="347"/>
      <c r="G28" s="347"/>
      <c r="H28" s="347"/>
      <c r="I28" s="347"/>
      <c r="J28" s="347"/>
      <c r="K28" s="347"/>
    </row>
    <row r="29" spans="2:11" ht="24.95" customHeight="1" x14ac:dyDescent="0.25">
      <c r="B29" s="347"/>
      <c r="C29" s="347"/>
      <c r="D29" s="347"/>
      <c r="E29" s="347"/>
      <c r="F29" s="347"/>
      <c r="G29" s="347"/>
      <c r="H29" s="347"/>
      <c r="I29" s="347"/>
      <c r="J29" s="347"/>
      <c r="K29" s="347"/>
    </row>
    <row r="30" spans="2:11" ht="24.95" customHeight="1" x14ac:dyDescent="0.25">
      <c r="B30" s="347"/>
      <c r="C30" s="347"/>
      <c r="D30" s="347"/>
      <c r="E30" s="347"/>
      <c r="F30" s="347"/>
      <c r="G30" s="347"/>
      <c r="H30" s="347"/>
      <c r="I30" s="347"/>
      <c r="J30" s="347"/>
      <c r="K30" s="347"/>
    </row>
    <row r="31" spans="2:11" ht="24.95" customHeight="1" x14ac:dyDescent="0.25">
      <c r="B31" s="347"/>
      <c r="C31" s="347"/>
      <c r="D31" s="347"/>
      <c r="E31" s="347"/>
      <c r="F31" s="347"/>
      <c r="G31" s="347"/>
      <c r="H31" s="347"/>
      <c r="I31" s="347"/>
      <c r="J31" s="347"/>
      <c r="K31" s="347"/>
    </row>
    <row r="32" spans="2:11" ht="24.95" customHeight="1" x14ac:dyDescent="0.25">
      <c r="B32" s="347"/>
      <c r="C32" s="347"/>
      <c r="D32" s="347"/>
      <c r="E32" s="347"/>
      <c r="F32" s="347"/>
      <c r="G32" s="347"/>
      <c r="H32" s="347"/>
      <c r="I32" s="347"/>
      <c r="J32" s="347"/>
      <c r="K32" s="347"/>
    </row>
    <row r="33" spans="2:11" ht="24.95" customHeight="1" x14ac:dyDescent="0.25">
      <c r="B33" s="347"/>
      <c r="C33" s="347"/>
      <c r="D33" s="347"/>
      <c r="E33" s="347"/>
      <c r="F33" s="347"/>
      <c r="G33" s="347"/>
      <c r="H33" s="347"/>
      <c r="I33" s="347"/>
      <c r="J33" s="347"/>
      <c r="K33" s="347"/>
    </row>
    <row r="34" spans="2:11" ht="24.95" customHeight="1" x14ac:dyDescent="0.25">
      <c r="B34" s="347"/>
      <c r="C34" s="347"/>
      <c r="D34" s="347"/>
      <c r="E34" s="347"/>
      <c r="F34" s="347"/>
      <c r="G34" s="347"/>
      <c r="H34" s="347"/>
      <c r="I34" s="347"/>
      <c r="J34" s="347"/>
      <c r="K34" s="347"/>
    </row>
    <row r="35" spans="2:11" ht="24.95" customHeight="1" x14ac:dyDescent="0.25"/>
  </sheetData>
  <mergeCells count="165">
    <mergeCell ref="H2:I2"/>
    <mergeCell ref="J2:K2"/>
    <mergeCell ref="H3:I3"/>
    <mergeCell ref="J3:K3"/>
    <mergeCell ref="B4:C4"/>
    <mergeCell ref="B5:C5"/>
    <mergeCell ref="J4:K4"/>
    <mergeCell ref="J5:K5"/>
    <mergeCell ref="B2:C2"/>
    <mergeCell ref="D2:E2"/>
    <mergeCell ref="F2:G2"/>
    <mergeCell ref="B3:C3"/>
    <mergeCell ref="D3:E3"/>
    <mergeCell ref="F3:G3"/>
    <mergeCell ref="B16:C16"/>
    <mergeCell ref="B17:C17"/>
    <mergeCell ref="B18:C18"/>
    <mergeCell ref="B19:C19"/>
    <mergeCell ref="B6:C6"/>
    <mergeCell ref="B7:C7"/>
    <mergeCell ref="B9:C9"/>
    <mergeCell ref="B10:C10"/>
    <mergeCell ref="B11:C11"/>
    <mergeCell ref="B12:C12"/>
    <mergeCell ref="B14:C14"/>
    <mergeCell ref="B32:C32"/>
    <mergeCell ref="B33:C33"/>
    <mergeCell ref="B34:C34"/>
    <mergeCell ref="D4:E4"/>
    <mergeCell ref="F4:G4"/>
    <mergeCell ref="H4:I4"/>
    <mergeCell ref="D5:E5"/>
    <mergeCell ref="F5:G5"/>
    <mergeCell ref="H5:I5"/>
    <mergeCell ref="D6:E6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3:C13"/>
    <mergeCell ref="B15:C15"/>
    <mergeCell ref="F10:G10"/>
    <mergeCell ref="H10:I10"/>
    <mergeCell ref="J10:K10"/>
    <mergeCell ref="F6:G6"/>
    <mergeCell ref="H6:I6"/>
    <mergeCell ref="J6:K6"/>
    <mergeCell ref="D7:E7"/>
    <mergeCell ref="F7:G7"/>
    <mergeCell ref="H7:I7"/>
    <mergeCell ref="J7:K7"/>
    <mergeCell ref="D9:E9"/>
    <mergeCell ref="F9:G9"/>
    <mergeCell ref="H9:I9"/>
    <mergeCell ref="J9:K9"/>
    <mergeCell ref="D10:E10"/>
    <mergeCell ref="D13:E13"/>
    <mergeCell ref="F13:G13"/>
    <mergeCell ref="H13:I13"/>
    <mergeCell ref="J13:K13"/>
    <mergeCell ref="D15:E15"/>
    <mergeCell ref="F15:G15"/>
    <mergeCell ref="H15:I15"/>
    <mergeCell ref="J15:K15"/>
    <mergeCell ref="D11:E11"/>
    <mergeCell ref="F11:G11"/>
    <mergeCell ref="H11:I11"/>
    <mergeCell ref="J11:K11"/>
    <mergeCell ref="D12:E12"/>
    <mergeCell ref="F12:G12"/>
    <mergeCell ref="H12:I12"/>
    <mergeCell ref="J12:K12"/>
    <mergeCell ref="D14:E14"/>
    <mergeCell ref="F14:G14"/>
    <mergeCell ref="H14:I14"/>
    <mergeCell ref="J14:K14"/>
    <mergeCell ref="D18:E18"/>
    <mergeCell ref="F18:G18"/>
    <mergeCell ref="H18:I18"/>
    <mergeCell ref="J18:K18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22:E22"/>
    <mergeCell ref="F22:G22"/>
    <mergeCell ref="H22:I22"/>
    <mergeCell ref="J22:K22"/>
    <mergeCell ref="D23:E23"/>
    <mergeCell ref="F23:G23"/>
    <mergeCell ref="H23:I23"/>
    <mergeCell ref="J23:K23"/>
    <mergeCell ref="D20:E20"/>
    <mergeCell ref="F20:G20"/>
    <mergeCell ref="H20:I20"/>
    <mergeCell ref="J20:K20"/>
    <mergeCell ref="D21:E21"/>
    <mergeCell ref="F21:G21"/>
    <mergeCell ref="H21:I21"/>
    <mergeCell ref="J21:K21"/>
    <mergeCell ref="D26:E26"/>
    <mergeCell ref="F26:G26"/>
    <mergeCell ref="H26:I26"/>
    <mergeCell ref="J26:K26"/>
    <mergeCell ref="D27:E27"/>
    <mergeCell ref="F27:G27"/>
    <mergeCell ref="H27:I27"/>
    <mergeCell ref="J27:K27"/>
    <mergeCell ref="D24:E24"/>
    <mergeCell ref="F24:G24"/>
    <mergeCell ref="H24:I24"/>
    <mergeCell ref="J24:K24"/>
    <mergeCell ref="D25:E25"/>
    <mergeCell ref="F25:G25"/>
    <mergeCell ref="H25:I25"/>
    <mergeCell ref="J25:K25"/>
    <mergeCell ref="J31:K31"/>
    <mergeCell ref="D28:E28"/>
    <mergeCell ref="F28:G28"/>
    <mergeCell ref="H28:I28"/>
    <mergeCell ref="J28:K28"/>
    <mergeCell ref="D29:E29"/>
    <mergeCell ref="F29:G29"/>
    <mergeCell ref="H29:I29"/>
    <mergeCell ref="J29:K29"/>
    <mergeCell ref="D34:E34"/>
    <mergeCell ref="F34:G34"/>
    <mergeCell ref="H34:I34"/>
    <mergeCell ref="J34:K34"/>
    <mergeCell ref="D8:E8"/>
    <mergeCell ref="B8:C8"/>
    <mergeCell ref="F8:G8"/>
    <mergeCell ref="H8:I8"/>
    <mergeCell ref="J8:K8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</mergeCells>
  <pageMargins left="0.7" right="0.7" top="0.75" bottom="0.75" header="0.3" footer="0.3"/>
  <pageSetup paperSize="5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8"/>
  <sheetViews>
    <sheetView topLeftCell="K21" workbookViewId="0">
      <selection activeCell="X21" sqref="X21:Y21"/>
    </sheetView>
  </sheetViews>
  <sheetFormatPr baseColWidth="10" defaultColWidth="11.5703125" defaultRowHeight="15" x14ac:dyDescent="0.25"/>
  <cols>
    <col min="1" max="1" width="5" customWidth="1"/>
  </cols>
  <sheetData>
    <row r="2" spans="2:27" x14ac:dyDescent="0.25">
      <c r="D2" s="333" t="s">
        <v>131</v>
      </c>
      <c r="E2" s="333"/>
      <c r="F2" s="333"/>
      <c r="G2" s="71">
        <v>2500</v>
      </c>
    </row>
    <row r="4" spans="2:27" s="55" customFormat="1" ht="24" customHeight="1" x14ac:dyDescent="0.25">
      <c r="B4" s="334" t="s">
        <v>35</v>
      </c>
      <c r="C4" s="334"/>
      <c r="D4" s="56" t="s">
        <v>107</v>
      </c>
      <c r="E4" s="56" t="s">
        <v>108</v>
      </c>
      <c r="F4" s="335" t="s">
        <v>109</v>
      </c>
      <c r="G4" s="336"/>
      <c r="H4" s="337"/>
      <c r="I4" s="334" t="s">
        <v>36</v>
      </c>
      <c r="J4" s="334"/>
      <c r="K4" s="87" t="s">
        <v>107</v>
      </c>
      <c r="L4" s="87" t="s">
        <v>108</v>
      </c>
      <c r="M4" s="335" t="s">
        <v>109</v>
      </c>
      <c r="N4" s="336"/>
      <c r="O4" s="337"/>
      <c r="P4" s="334" t="s">
        <v>37</v>
      </c>
      <c r="Q4" s="334"/>
      <c r="R4" s="87" t="s">
        <v>107</v>
      </c>
      <c r="S4" s="87" t="s">
        <v>108</v>
      </c>
      <c r="T4" s="335" t="s">
        <v>109</v>
      </c>
      <c r="U4" s="336"/>
      <c r="V4" s="336"/>
      <c r="W4" s="337"/>
      <c r="X4" s="346" t="s">
        <v>132</v>
      </c>
      <c r="Y4" s="347"/>
    </row>
    <row r="5" spans="2:27" s="55" customFormat="1" ht="24" customHeight="1" x14ac:dyDescent="0.25">
      <c r="B5" s="348" t="s">
        <v>31</v>
      </c>
      <c r="C5" s="348"/>
      <c r="D5" s="79"/>
      <c r="E5" s="79"/>
      <c r="F5" s="79" t="s">
        <v>122</v>
      </c>
      <c r="G5" s="79" t="s">
        <v>124</v>
      </c>
      <c r="H5" s="79" t="s">
        <v>123</v>
      </c>
      <c r="I5" s="348" t="s">
        <v>34</v>
      </c>
      <c r="J5" s="348"/>
      <c r="K5" s="79"/>
      <c r="L5" s="79"/>
      <c r="M5" s="79" t="s">
        <v>122</v>
      </c>
      <c r="N5" s="79" t="s">
        <v>124</v>
      </c>
      <c r="O5" s="79" t="s">
        <v>123</v>
      </c>
      <c r="P5" s="348" t="s">
        <v>32</v>
      </c>
      <c r="Q5" s="348"/>
      <c r="R5" s="79"/>
      <c r="S5" s="79"/>
      <c r="T5" s="79" t="s">
        <v>122</v>
      </c>
      <c r="U5" s="79" t="s">
        <v>124</v>
      </c>
      <c r="V5" s="79" t="s">
        <v>139</v>
      </c>
      <c r="W5" s="79" t="s">
        <v>123</v>
      </c>
    </row>
    <row r="6" spans="2:27" ht="24" customHeight="1" x14ac:dyDescent="0.25">
      <c r="B6" s="386"/>
      <c r="C6" s="386"/>
      <c r="D6" s="80"/>
      <c r="E6" s="80"/>
      <c r="F6" s="80"/>
      <c r="G6" s="80"/>
      <c r="H6" s="80"/>
      <c r="I6" s="386"/>
      <c r="J6" s="386"/>
      <c r="K6" s="80"/>
      <c r="L6" s="80"/>
      <c r="M6" s="80"/>
      <c r="N6" s="80"/>
      <c r="O6" s="80"/>
      <c r="P6" s="386"/>
      <c r="Q6" s="386"/>
      <c r="R6" s="80"/>
      <c r="S6" s="80"/>
      <c r="T6" s="80"/>
      <c r="U6" s="80"/>
      <c r="V6" s="80"/>
      <c r="W6" s="80"/>
    </row>
    <row r="7" spans="2:27" s="135" customFormat="1" ht="24" customHeight="1" x14ac:dyDescent="0.25">
      <c r="B7" s="402" t="s">
        <v>110</v>
      </c>
      <c r="C7" s="402"/>
      <c r="D7" s="133">
        <v>0.41666666666666669</v>
      </c>
      <c r="E7" s="133">
        <v>0.54166666666666663</v>
      </c>
      <c r="F7" s="134">
        <f>HOUR(E7-D7)</f>
        <v>3</v>
      </c>
      <c r="G7" s="134">
        <f>MINUTE(E7-D7)</f>
        <v>0</v>
      </c>
      <c r="H7" s="133">
        <f t="shared" ref="H7:H14" si="0">+E7-D7</f>
        <v>0.12499999999999994</v>
      </c>
      <c r="I7" s="387" t="str">
        <f>+B7</f>
        <v>Miguel Hermosilla</v>
      </c>
      <c r="J7" s="387"/>
      <c r="K7" s="133">
        <v>0.63888888888888895</v>
      </c>
      <c r="L7" s="133">
        <v>0.88124999999999998</v>
      </c>
      <c r="M7" s="134">
        <f>HOUR(L7-K7)</f>
        <v>5</v>
      </c>
      <c r="N7" s="134">
        <f>MINUTE(L7-K7)</f>
        <v>49</v>
      </c>
      <c r="O7" s="133">
        <f t="shared" ref="O7:O14" si="1">+L7-K7</f>
        <v>0.24236111111111103</v>
      </c>
      <c r="P7" s="387" t="str">
        <f>+B7</f>
        <v>Miguel Hermosilla</v>
      </c>
      <c r="Q7" s="387"/>
      <c r="R7" s="133">
        <v>0.45833333333333331</v>
      </c>
      <c r="S7" s="133">
        <v>0.66680555555555554</v>
      </c>
      <c r="T7" s="134">
        <f>HOUR(S7-R7)</f>
        <v>5</v>
      </c>
      <c r="U7" s="134">
        <f>MINUTE(S7-R7)</f>
        <v>0</v>
      </c>
      <c r="V7" s="134">
        <f>SECOND(S7-R7)</f>
        <v>12</v>
      </c>
      <c r="W7" s="133">
        <f t="shared" ref="W7:W14" si="2">+S7-R7</f>
        <v>0.20847222222222223</v>
      </c>
      <c r="X7" s="392">
        <f>+(F7+M7+T7)*$G$2+(G7+N7+U7)*$G$2/60+V7*$G$2/60/60</f>
        <v>34550</v>
      </c>
      <c r="Y7" s="393"/>
    </row>
    <row r="8" spans="2:27" s="135" customFormat="1" ht="24" customHeight="1" x14ac:dyDescent="0.25">
      <c r="B8" s="402" t="s">
        <v>110</v>
      </c>
      <c r="C8" s="402"/>
      <c r="D8" s="133">
        <v>0.83333333333333337</v>
      </c>
      <c r="E8" s="133">
        <v>0.90069444444444446</v>
      </c>
      <c r="F8" s="134">
        <f t="shared" ref="F8:F35" si="3">HOUR(E8-D8)</f>
        <v>1</v>
      </c>
      <c r="G8" s="134">
        <f t="shared" ref="G8:G35" si="4">MINUTE(E8-D8)</f>
        <v>37</v>
      </c>
      <c r="H8" s="133">
        <f t="shared" si="0"/>
        <v>6.7361111111111094E-2</v>
      </c>
      <c r="I8" s="387" t="str">
        <f t="shared" ref="I8:I35" si="5">+B8</f>
        <v>Miguel Hermosilla</v>
      </c>
      <c r="J8" s="387"/>
      <c r="K8" s="136">
        <v>0</v>
      </c>
      <c r="L8" s="136">
        <v>0</v>
      </c>
      <c r="M8" s="134">
        <f t="shared" ref="M8:M35" si="6">HOUR(L8-K8)</f>
        <v>0</v>
      </c>
      <c r="N8" s="134">
        <f t="shared" ref="N8:N35" si="7">MINUTE(L8-K8)</f>
        <v>0</v>
      </c>
      <c r="O8" s="133">
        <f t="shared" si="1"/>
        <v>0</v>
      </c>
      <c r="P8" s="387" t="str">
        <f t="shared" ref="P8:P35" si="8">+B8</f>
        <v>Miguel Hermosilla</v>
      </c>
      <c r="Q8" s="387"/>
      <c r="R8" s="133">
        <v>0.84375</v>
      </c>
      <c r="S8" s="133">
        <v>0.94239583333333332</v>
      </c>
      <c r="T8" s="134">
        <f t="shared" ref="T8:T35" si="9">HOUR(S8-R8)</f>
        <v>2</v>
      </c>
      <c r="U8" s="134">
        <f t="shared" ref="U8:U35" si="10">MINUTE(S8-R8)</f>
        <v>22</v>
      </c>
      <c r="V8" s="134">
        <f t="shared" ref="V8:V35" si="11">SECOND(S8-R8)</f>
        <v>3</v>
      </c>
      <c r="W8" s="133">
        <f t="shared" si="2"/>
        <v>9.8645833333333321E-2</v>
      </c>
      <c r="X8" s="392">
        <f>+(F8+M8+T8)*$G$2+(G8+N8+U8)*$G$2/60+V8*$G$2/60/60</f>
        <v>9960.4166666666679</v>
      </c>
      <c r="Y8" s="393"/>
      <c r="AA8" s="137">
        <f>+X7+X8</f>
        <v>44510.416666666672</v>
      </c>
    </row>
    <row r="9" spans="2:27" s="141" customFormat="1" ht="24" customHeight="1" x14ac:dyDescent="0.25">
      <c r="B9" s="398" t="s">
        <v>39</v>
      </c>
      <c r="C9" s="398"/>
      <c r="D9" s="138">
        <v>0.89583333333333337</v>
      </c>
      <c r="E9" s="138">
        <v>1.2083333333333333</v>
      </c>
      <c r="F9" s="139">
        <f t="shared" si="3"/>
        <v>7</v>
      </c>
      <c r="G9" s="139">
        <f t="shared" si="4"/>
        <v>30</v>
      </c>
      <c r="H9" s="138">
        <f t="shared" si="0"/>
        <v>0.31249999999999989</v>
      </c>
      <c r="I9" s="396" t="str">
        <f t="shared" si="5"/>
        <v>Ramiro Vidal</v>
      </c>
      <c r="J9" s="396"/>
      <c r="K9" s="140">
        <v>0</v>
      </c>
      <c r="L9" s="140">
        <v>0</v>
      </c>
      <c r="M9" s="139">
        <f t="shared" si="6"/>
        <v>0</v>
      </c>
      <c r="N9" s="139">
        <f t="shared" si="7"/>
        <v>0</v>
      </c>
      <c r="O9" s="138">
        <f t="shared" si="1"/>
        <v>0</v>
      </c>
      <c r="P9" s="396" t="str">
        <f t="shared" si="8"/>
        <v>Ramiro Vidal</v>
      </c>
      <c r="Q9" s="396"/>
      <c r="R9" s="140">
        <v>0</v>
      </c>
      <c r="S9" s="140">
        <v>0</v>
      </c>
      <c r="T9" s="139">
        <f t="shared" si="9"/>
        <v>0</v>
      </c>
      <c r="U9" s="139">
        <f t="shared" si="10"/>
        <v>0</v>
      </c>
      <c r="V9" s="139">
        <f t="shared" si="11"/>
        <v>0</v>
      </c>
      <c r="W9" s="138">
        <f t="shared" si="2"/>
        <v>0</v>
      </c>
      <c r="X9" s="390">
        <f>+(F9+M9+T9)*$G$2+(G9+N9+U9)*$G$2/60+V9*$G$2/60/60</f>
        <v>18750</v>
      </c>
      <c r="Y9" s="391"/>
    </row>
    <row r="10" spans="2:27" s="83" customFormat="1" ht="24" customHeight="1" x14ac:dyDescent="0.25">
      <c r="B10" s="397" t="s">
        <v>40</v>
      </c>
      <c r="C10" s="397"/>
      <c r="D10" s="82">
        <v>0</v>
      </c>
      <c r="E10" s="82">
        <v>0</v>
      </c>
      <c r="F10" s="102">
        <f t="shared" si="3"/>
        <v>0</v>
      </c>
      <c r="G10" s="102">
        <f t="shared" si="4"/>
        <v>0</v>
      </c>
      <c r="H10" s="107">
        <f t="shared" si="0"/>
        <v>0</v>
      </c>
      <c r="I10" s="348" t="str">
        <f t="shared" si="5"/>
        <v>Rosa Atenas</v>
      </c>
      <c r="J10" s="348"/>
      <c r="K10" s="107">
        <v>6.25E-2</v>
      </c>
      <c r="L10" s="107">
        <v>0.10416666666666667</v>
      </c>
      <c r="M10" s="102">
        <f t="shared" si="6"/>
        <v>1</v>
      </c>
      <c r="N10" s="102">
        <f t="shared" si="7"/>
        <v>0</v>
      </c>
      <c r="O10" s="107">
        <f t="shared" si="1"/>
        <v>4.1666666666666671E-2</v>
      </c>
      <c r="P10" s="348" t="str">
        <f t="shared" si="8"/>
        <v>Rosa Atenas</v>
      </c>
      <c r="Q10" s="348"/>
      <c r="R10" s="105">
        <v>0</v>
      </c>
      <c r="S10" s="105">
        <v>0</v>
      </c>
      <c r="T10" s="102">
        <f t="shared" si="9"/>
        <v>0</v>
      </c>
      <c r="U10" s="102">
        <f t="shared" si="10"/>
        <v>0</v>
      </c>
      <c r="V10" s="102">
        <f t="shared" si="11"/>
        <v>0</v>
      </c>
      <c r="W10" s="107">
        <f t="shared" si="2"/>
        <v>0</v>
      </c>
      <c r="X10" s="388">
        <f t="shared" ref="X10:X19" si="12">+(F10+M10+T10)*$G$2+(G10+N10+U10)*$G$2/60+V10*$G$2/60/60</f>
        <v>2500</v>
      </c>
      <c r="Y10" s="389"/>
    </row>
    <row r="11" spans="2:27" s="141" customFormat="1" ht="24" customHeight="1" x14ac:dyDescent="0.25">
      <c r="B11" s="398" t="s">
        <v>56</v>
      </c>
      <c r="C11" s="398"/>
      <c r="D11" s="138">
        <v>0.875</v>
      </c>
      <c r="E11" s="138">
        <v>1.2083333333333333</v>
      </c>
      <c r="F11" s="139">
        <f t="shared" si="3"/>
        <v>8</v>
      </c>
      <c r="G11" s="139">
        <f t="shared" si="4"/>
        <v>0</v>
      </c>
      <c r="H11" s="138">
        <f t="shared" si="0"/>
        <v>0.33333333333333326</v>
      </c>
      <c r="I11" s="396" t="str">
        <f t="shared" si="5"/>
        <v>Ivan Flores</v>
      </c>
      <c r="J11" s="396"/>
      <c r="K11" s="140">
        <v>0</v>
      </c>
      <c r="L11" s="140">
        <v>0</v>
      </c>
      <c r="M11" s="139">
        <f t="shared" si="6"/>
        <v>0</v>
      </c>
      <c r="N11" s="139">
        <f t="shared" si="7"/>
        <v>0</v>
      </c>
      <c r="O11" s="138">
        <f t="shared" si="1"/>
        <v>0</v>
      </c>
      <c r="P11" s="396" t="str">
        <f t="shared" si="8"/>
        <v>Ivan Flores</v>
      </c>
      <c r="Q11" s="396"/>
      <c r="R11" s="140">
        <v>0</v>
      </c>
      <c r="S11" s="140">
        <v>0</v>
      </c>
      <c r="T11" s="139">
        <f t="shared" si="9"/>
        <v>0</v>
      </c>
      <c r="U11" s="139">
        <f t="shared" si="10"/>
        <v>0</v>
      </c>
      <c r="V11" s="139">
        <f t="shared" si="11"/>
        <v>0</v>
      </c>
      <c r="W11" s="138">
        <f t="shared" si="2"/>
        <v>0</v>
      </c>
      <c r="X11" s="390">
        <f t="shared" si="12"/>
        <v>20000</v>
      </c>
      <c r="Y11" s="391"/>
    </row>
    <row r="12" spans="2:27" s="141" customFormat="1" ht="24" customHeight="1" x14ac:dyDescent="0.25">
      <c r="B12" s="398" t="s">
        <v>47</v>
      </c>
      <c r="C12" s="398"/>
      <c r="D12" s="148">
        <v>0</v>
      </c>
      <c r="E12" s="148">
        <v>0</v>
      </c>
      <c r="F12" s="139">
        <f t="shared" si="3"/>
        <v>0</v>
      </c>
      <c r="G12" s="139">
        <f t="shared" si="4"/>
        <v>0</v>
      </c>
      <c r="H12" s="138">
        <f t="shared" si="0"/>
        <v>0</v>
      </c>
      <c r="I12" s="396" t="str">
        <f t="shared" si="5"/>
        <v>Gabriel Echeverria</v>
      </c>
      <c r="J12" s="396"/>
      <c r="K12" s="138">
        <v>0.92638888888888893</v>
      </c>
      <c r="L12" s="138">
        <v>1.25</v>
      </c>
      <c r="M12" s="139">
        <f t="shared" si="6"/>
        <v>7</v>
      </c>
      <c r="N12" s="139">
        <f t="shared" si="7"/>
        <v>46</v>
      </c>
      <c r="O12" s="138">
        <f t="shared" si="1"/>
        <v>0.32361111111111107</v>
      </c>
      <c r="P12" s="396" t="str">
        <f t="shared" si="8"/>
        <v>Gabriel Echeverria</v>
      </c>
      <c r="Q12" s="396"/>
      <c r="R12" s="138">
        <v>0.89444444444444438</v>
      </c>
      <c r="S12" s="138">
        <v>1.2708333333333333</v>
      </c>
      <c r="T12" s="139">
        <f t="shared" si="9"/>
        <v>9</v>
      </c>
      <c r="U12" s="139">
        <f t="shared" si="10"/>
        <v>2</v>
      </c>
      <c r="V12" s="139">
        <f t="shared" si="11"/>
        <v>0</v>
      </c>
      <c r="W12" s="138">
        <f t="shared" si="2"/>
        <v>0.37638888888888888</v>
      </c>
      <c r="X12" s="390">
        <f t="shared" si="12"/>
        <v>42000</v>
      </c>
      <c r="Y12" s="391"/>
    </row>
    <row r="13" spans="2:27" s="141" customFormat="1" ht="24" customHeight="1" x14ac:dyDescent="0.25">
      <c r="B13" s="398" t="s">
        <v>115</v>
      </c>
      <c r="C13" s="398"/>
      <c r="D13" s="138">
        <v>0.16666666666666666</v>
      </c>
      <c r="E13" s="138">
        <v>0.375</v>
      </c>
      <c r="F13" s="139">
        <f t="shared" si="3"/>
        <v>5</v>
      </c>
      <c r="G13" s="139">
        <f t="shared" si="4"/>
        <v>0</v>
      </c>
      <c r="H13" s="138">
        <f t="shared" si="0"/>
        <v>0.20833333333333334</v>
      </c>
      <c r="I13" s="396" t="str">
        <f t="shared" si="5"/>
        <v>Jorge Vidal</v>
      </c>
      <c r="J13" s="396"/>
      <c r="K13" s="138">
        <v>0.20833333333333334</v>
      </c>
      <c r="L13" s="138">
        <v>0.375</v>
      </c>
      <c r="M13" s="139">
        <f t="shared" si="6"/>
        <v>4</v>
      </c>
      <c r="N13" s="139">
        <f t="shared" si="7"/>
        <v>0</v>
      </c>
      <c r="O13" s="138">
        <f t="shared" si="1"/>
        <v>0.16666666666666666</v>
      </c>
      <c r="P13" s="396" t="str">
        <f t="shared" si="8"/>
        <v>Jorge Vidal</v>
      </c>
      <c r="Q13" s="396"/>
      <c r="R13" s="138">
        <v>0.90416666666666667</v>
      </c>
      <c r="S13" s="138">
        <v>1.375</v>
      </c>
      <c r="T13" s="139">
        <f t="shared" si="9"/>
        <v>11</v>
      </c>
      <c r="U13" s="139">
        <f t="shared" si="10"/>
        <v>18</v>
      </c>
      <c r="V13" s="139">
        <f t="shared" si="11"/>
        <v>0</v>
      </c>
      <c r="W13" s="138">
        <f t="shared" si="2"/>
        <v>0.47083333333333333</v>
      </c>
      <c r="X13" s="390">
        <f t="shared" si="12"/>
        <v>50750</v>
      </c>
      <c r="Y13" s="391"/>
    </row>
    <row r="14" spans="2:27" ht="24" customHeight="1" x14ac:dyDescent="0.25">
      <c r="B14" s="399" t="s">
        <v>116</v>
      </c>
      <c r="C14" s="399"/>
      <c r="D14" s="84">
        <v>0.41666666666666669</v>
      </c>
      <c r="E14" s="84">
        <v>0.54166666666666663</v>
      </c>
      <c r="F14" s="102">
        <f t="shared" si="3"/>
        <v>3</v>
      </c>
      <c r="G14" s="102">
        <f t="shared" si="4"/>
        <v>0</v>
      </c>
      <c r="H14" s="84">
        <f t="shared" si="0"/>
        <v>0.12499999999999994</v>
      </c>
      <c r="I14" s="348" t="str">
        <f t="shared" si="5"/>
        <v>Adrian</v>
      </c>
      <c r="J14" s="348"/>
      <c r="K14" s="84">
        <v>0.75</v>
      </c>
      <c r="L14" s="84">
        <v>1.25</v>
      </c>
      <c r="M14" s="102">
        <f t="shared" si="6"/>
        <v>12</v>
      </c>
      <c r="N14" s="102">
        <f t="shared" si="7"/>
        <v>0</v>
      </c>
      <c r="O14" s="84">
        <f t="shared" si="1"/>
        <v>0.5</v>
      </c>
      <c r="P14" s="348" t="str">
        <f t="shared" si="8"/>
        <v>Adrian</v>
      </c>
      <c r="Q14" s="348"/>
      <c r="R14" s="84">
        <v>0.41666666666666669</v>
      </c>
      <c r="S14" s="84">
        <v>0.54166666666666663</v>
      </c>
      <c r="T14" s="102">
        <f t="shared" si="9"/>
        <v>3</v>
      </c>
      <c r="U14" s="102">
        <f t="shared" si="10"/>
        <v>0</v>
      </c>
      <c r="V14" s="102">
        <f t="shared" si="11"/>
        <v>0</v>
      </c>
      <c r="W14" s="84">
        <f t="shared" si="2"/>
        <v>0.12499999999999994</v>
      </c>
      <c r="X14" s="388">
        <f t="shared" si="12"/>
        <v>45000</v>
      </c>
      <c r="Y14" s="389"/>
      <c r="Z14" s="71" t="s">
        <v>46</v>
      </c>
    </row>
    <row r="15" spans="2:27" ht="24" customHeight="1" x14ac:dyDescent="0.25">
      <c r="B15" s="399" t="s">
        <v>116</v>
      </c>
      <c r="C15" s="399"/>
      <c r="D15" s="84">
        <v>0.70833333333333337</v>
      </c>
      <c r="E15" s="84">
        <v>0.95833333333333337</v>
      </c>
      <c r="F15" s="102">
        <f t="shared" si="3"/>
        <v>6</v>
      </c>
      <c r="G15" s="102">
        <f t="shared" si="4"/>
        <v>0</v>
      </c>
      <c r="H15" s="84">
        <f t="shared" ref="H15" si="13">+E15-D15</f>
        <v>0.25</v>
      </c>
      <c r="I15" s="348" t="str">
        <f t="shared" si="5"/>
        <v>Adrian</v>
      </c>
      <c r="J15" s="348"/>
      <c r="K15" s="104">
        <v>0</v>
      </c>
      <c r="L15" s="104">
        <v>0</v>
      </c>
      <c r="M15" s="102">
        <f t="shared" si="6"/>
        <v>0</v>
      </c>
      <c r="N15" s="102">
        <f t="shared" si="7"/>
        <v>0</v>
      </c>
      <c r="O15" s="84">
        <f t="shared" ref="O15" si="14">+L15-K15</f>
        <v>0</v>
      </c>
      <c r="P15" s="348" t="str">
        <f t="shared" si="8"/>
        <v>Adrian</v>
      </c>
      <c r="Q15" s="348"/>
      <c r="R15" s="84">
        <v>0.875</v>
      </c>
      <c r="S15" s="84">
        <v>30</v>
      </c>
      <c r="T15" s="102">
        <f t="shared" si="9"/>
        <v>3</v>
      </c>
      <c r="U15" s="102">
        <f t="shared" si="10"/>
        <v>0</v>
      </c>
      <c r="V15" s="102">
        <f t="shared" si="11"/>
        <v>0</v>
      </c>
      <c r="W15" s="84">
        <f t="shared" ref="W15" si="15">+S15-R15</f>
        <v>29.125</v>
      </c>
      <c r="X15" s="388">
        <f t="shared" si="12"/>
        <v>22500</v>
      </c>
      <c r="Y15" s="389"/>
      <c r="Z15" s="71" t="s">
        <v>46</v>
      </c>
      <c r="AA15" s="132" t="s">
        <v>46</v>
      </c>
    </row>
    <row r="16" spans="2:27" s="141" customFormat="1" ht="24" customHeight="1" x14ac:dyDescent="0.25">
      <c r="B16" s="398" t="s">
        <v>113</v>
      </c>
      <c r="C16" s="398"/>
      <c r="D16" s="138">
        <v>0.89583333333333337</v>
      </c>
      <c r="E16" s="138">
        <v>1.2083333333333333</v>
      </c>
      <c r="F16" s="139">
        <f t="shared" si="3"/>
        <v>7</v>
      </c>
      <c r="G16" s="139">
        <f t="shared" si="4"/>
        <v>30</v>
      </c>
      <c r="H16" s="138">
        <f t="shared" ref="H16:H35" si="16">+E16-D16</f>
        <v>0.31249999999999989</v>
      </c>
      <c r="I16" s="396" t="str">
        <f t="shared" si="5"/>
        <v>Amanda Orellana</v>
      </c>
      <c r="J16" s="396"/>
      <c r="K16" s="138">
        <v>0.88750000000000007</v>
      </c>
      <c r="L16" s="138">
        <v>1.25</v>
      </c>
      <c r="M16" s="139">
        <f t="shared" si="6"/>
        <v>8</v>
      </c>
      <c r="N16" s="139">
        <f t="shared" si="7"/>
        <v>42</v>
      </c>
      <c r="O16" s="138">
        <f t="shared" ref="O16:O35" si="17">+L16-K16</f>
        <v>0.36249999999999993</v>
      </c>
      <c r="P16" s="396" t="str">
        <f t="shared" si="8"/>
        <v>Amanda Orellana</v>
      </c>
      <c r="Q16" s="396"/>
      <c r="R16" s="140">
        <v>0</v>
      </c>
      <c r="S16" s="140">
        <v>0</v>
      </c>
      <c r="T16" s="139">
        <f t="shared" si="9"/>
        <v>0</v>
      </c>
      <c r="U16" s="139">
        <f t="shared" si="10"/>
        <v>0</v>
      </c>
      <c r="V16" s="139">
        <f t="shared" si="11"/>
        <v>0</v>
      </c>
      <c r="W16" s="138">
        <f t="shared" ref="W16:W35" si="18">+S16-R16</f>
        <v>0</v>
      </c>
      <c r="X16" s="390">
        <f t="shared" si="12"/>
        <v>40500</v>
      </c>
      <c r="Y16" s="391"/>
    </row>
    <row r="17" spans="2:28" s="141" customFormat="1" ht="24" customHeight="1" x14ac:dyDescent="0.25">
      <c r="B17" s="398" t="s">
        <v>64</v>
      </c>
      <c r="C17" s="398"/>
      <c r="D17" s="138">
        <v>0.88888888888888884</v>
      </c>
      <c r="E17" s="138">
        <v>1.2083333333333333</v>
      </c>
      <c r="F17" s="139">
        <f t="shared" si="3"/>
        <v>7</v>
      </c>
      <c r="G17" s="139">
        <f t="shared" si="4"/>
        <v>40</v>
      </c>
      <c r="H17" s="138">
        <f t="shared" si="16"/>
        <v>0.31944444444444442</v>
      </c>
      <c r="I17" s="396" t="str">
        <f t="shared" si="5"/>
        <v>Cecilia Jara</v>
      </c>
      <c r="J17" s="396"/>
      <c r="K17" s="140">
        <v>0</v>
      </c>
      <c r="L17" s="140">
        <v>0</v>
      </c>
      <c r="M17" s="139">
        <f t="shared" si="6"/>
        <v>0</v>
      </c>
      <c r="N17" s="139">
        <f t="shared" si="7"/>
        <v>0</v>
      </c>
      <c r="O17" s="138">
        <f t="shared" si="17"/>
        <v>0</v>
      </c>
      <c r="P17" s="396" t="str">
        <f t="shared" si="8"/>
        <v>Cecilia Jara</v>
      </c>
      <c r="Q17" s="396"/>
      <c r="R17" s="138">
        <v>0.91111111111111109</v>
      </c>
      <c r="S17" s="138">
        <v>1.2708333333333333</v>
      </c>
      <c r="T17" s="139">
        <f t="shared" si="9"/>
        <v>8</v>
      </c>
      <c r="U17" s="139">
        <f t="shared" si="10"/>
        <v>38</v>
      </c>
      <c r="V17" s="139">
        <f t="shared" si="11"/>
        <v>0</v>
      </c>
      <c r="W17" s="138">
        <f t="shared" si="18"/>
        <v>0.35972222222222217</v>
      </c>
      <c r="X17" s="390">
        <f t="shared" si="12"/>
        <v>40750</v>
      </c>
      <c r="Y17" s="391"/>
    </row>
    <row r="18" spans="2:28" ht="24" customHeight="1" x14ac:dyDescent="0.25">
      <c r="B18" s="399" t="s">
        <v>112</v>
      </c>
      <c r="C18" s="399"/>
      <c r="D18" s="84">
        <v>0.89583333333333337</v>
      </c>
      <c r="E18" s="84">
        <v>1.2083333333333333</v>
      </c>
      <c r="F18" s="102">
        <f t="shared" si="3"/>
        <v>7</v>
      </c>
      <c r="G18" s="102">
        <f t="shared" si="4"/>
        <v>30</v>
      </c>
      <c r="H18" s="84">
        <f t="shared" si="16"/>
        <v>0.31249999999999989</v>
      </c>
      <c r="I18" s="348" t="str">
        <f t="shared" si="5"/>
        <v>Bernardita Olguin</v>
      </c>
      <c r="J18" s="348"/>
      <c r="K18" s="104">
        <v>0</v>
      </c>
      <c r="L18" s="104">
        <v>0</v>
      </c>
      <c r="M18" s="102">
        <f t="shared" si="6"/>
        <v>0</v>
      </c>
      <c r="N18" s="102">
        <f t="shared" si="7"/>
        <v>0</v>
      </c>
      <c r="O18" s="84">
        <f t="shared" si="17"/>
        <v>0</v>
      </c>
      <c r="P18" s="348" t="str">
        <f t="shared" si="8"/>
        <v>Bernardita Olguin</v>
      </c>
      <c r="Q18" s="348"/>
      <c r="R18" s="84">
        <v>0.89583333333333337</v>
      </c>
      <c r="S18" s="84">
        <v>1.2708333333333333</v>
      </c>
      <c r="T18" s="102">
        <f t="shared" si="9"/>
        <v>9</v>
      </c>
      <c r="U18" s="102">
        <f t="shared" si="10"/>
        <v>0</v>
      </c>
      <c r="V18" s="102">
        <f t="shared" si="11"/>
        <v>0</v>
      </c>
      <c r="W18" s="84">
        <f t="shared" si="18"/>
        <v>0.37499999999999989</v>
      </c>
      <c r="X18" s="388">
        <f t="shared" si="12"/>
        <v>41250</v>
      </c>
      <c r="Y18" s="389"/>
    </row>
    <row r="19" spans="2:28" ht="24" customHeight="1" x14ac:dyDescent="0.25">
      <c r="B19" s="399" t="s">
        <v>57</v>
      </c>
      <c r="C19" s="399"/>
      <c r="D19" s="79">
        <v>0</v>
      </c>
      <c r="E19" s="79">
        <v>0</v>
      </c>
      <c r="F19" s="102">
        <f t="shared" si="3"/>
        <v>0</v>
      </c>
      <c r="G19" s="102">
        <f t="shared" si="4"/>
        <v>0</v>
      </c>
      <c r="H19" s="84">
        <f t="shared" si="16"/>
        <v>0</v>
      </c>
      <c r="I19" s="348" t="str">
        <f t="shared" si="5"/>
        <v>Luisa Contreras</v>
      </c>
      <c r="J19" s="348"/>
      <c r="K19" s="84">
        <v>0.63888888888888895</v>
      </c>
      <c r="L19" s="84">
        <v>0.88124999999999998</v>
      </c>
      <c r="M19" s="102">
        <f t="shared" si="6"/>
        <v>5</v>
      </c>
      <c r="N19" s="102">
        <f t="shared" si="7"/>
        <v>49</v>
      </c>
      <c r="O19" s="84">
        <f t="shared" si="17"/>
        <v>0.24236111111111103</v>
      </c>
      <c r="P19" s="348" t="str">
        <f t="shared" si="8"/>
        <v>Luisa Contreras</v>
      </c>
      <c r="Q19" s="348"/>
      <c r="R19" s="104">
        <v>0</v>
      </c>
      <c r="S19" s="104">
        <v>1.3888888888888889E-4</v>
      </c>
      <c r="T19" s="102">
        <f t="shared" si="9"/>
        <v>0</v>
      </c>
      <c r="U19" s="102">
        <f t="shared" si="10"/>
        <v>0</v>
      </c>
      <c r="V19" s="102">
        <f t="shared" si="11"/>
        <v>12</v>
      </c>
      <c r="W19" s="84">
        <f t="shared" si="18"/>
        <v>1.3888888888888889E-4</v>
      </c>
      <c r="X19" s="388">
        <f t="shared" si="12"/>
        <v>14550</v>
      </c>
      <c r="Y19" s="389"/>
      <c r="AA19" s="71"/>
      <c r="AB19" t="s">
        <v>46</v>
      </c>
    </row>
    <row r="20" spans="2:28" s="141" customFormat="1" ht="24" customHeight="1" x14ac:dyDescent="0.25">
      <c r="B20" s="398" t="s">
        <v>114</v>
      </c>
      <c r="C20" s="398"/>
      <c r="D20" s="138">
        <v>0.92361111111111116</v>
      </c>
      <c r="E20" s="138">
        <v>1.2083333333333333</v>
      </c>
      <c r="F20" s="139">
        <f t="shared" si="3"/>
        <v>6</v>
      </c>
      <c r="G20" s="139">
        <f t="shared" si="4"/>
        <v>50</v>
      </c>
      <c r="H20" s="138">
        <f t="shared" si="16"/>
        <v>0.2847222222222221</v>
      </c>
      <c r="I20" s="396" t="str">
        <f t="shared" si="5"/>
        <v>Gaston Figueroa</v>
      </c>
      <c r="J20" s="396"/>
      <c r="K20" s="140">
        <v>0</v>
      </c>
      <c r="L20" s="140">
        <v>0</v>
      </c>
      <c r="M20" s="139">
        <f t="shared" si="6"/>
        <v>0</v>
      </c>
      <c r="N20" s="139">
        <f t="shared" si="7"/>
        <v>0</v>
      </c>
      <c r="O20" s="138">
        <f t="shared" si="17"/>
        <v>0</v>
      </c>
      <c r="P20" s="396" t="str">
        <f t="shared" si="8"/>
        <v>Gaston Figueroa</v>
      </c>
      <c r="Q20" s="396"/>
      <c r="R20" s="140">
        <v>0</v>
      </c>
      <c r="S20" s="140">
        <v>1.0416666666666667E-4</v>
      </c>
      <c r="T20" s="139">
        <f t="shared" si="9"/>
        <v>0</v>
      </c>
      <c r="U20" s="139">
        <f t="shared" si="10"/>
        <v>0</v>
      </c>
      <c r="V20" s="139">
        <f t="shared" si="11"/>
        <v>9</v>
      </c>
      <c r="W20" s="138">
        <f t="shared" si="18"/>
        <v>1.0416666666666667E-4</v>
      </c>
      <c r="X20" s="390">
        <f t="shared" ref="X20:X35" si="19">+(F20+M20+T20)*$G$2+(G20+N20+U20)*$G$2/60+V20*$G$2/60/60</f>
        <v>17089.583333333332</v>
      </c>
      <c r="Y20" s="391"/>
    </row>
    <row r="21" spans="2:28" s="141" customFormat="1" ht="24" customHeight="1" x14ac:dyDescent="0.25">
      <c r="B21" s="398" t="s">
        <v>53</v>
      </c>
      <c r="C21" s="398"/>
      <c r="D21" s="148">
        <v>0</v>
      </c>
      <c r="E21" s="148">
        <v>0</v>
      </c>
      <c r="F21" s="139">
        <f t="shared" si="3"/>
        <v>0</v>
      </c>
      <c r="G21" s="139">
        <f t="shared" si="4"/>
        <v>0</v>
      </c>
      <c r="H21" s="138">
        <f t="shared" si="16"/>
        <v>0</v>
      </c>
      <c r="I21" s="396" t="str">
        <f t="shared" si="5"/>
        <v>Patricio Rojas</v>
      </c>
      <c r="J21" s="396"/>
      <c r="K21" s="138">
        <v>0.9375</v>
      </c>
      <c r="L21" s="138">
        <v>1.25</v>
      </c>
      <c r="M21" s="139">
        <f t="shared" si="6"/>
        <v>7</v>
      </c>
      <c r="N21" s="139">
        <f t="shared" si="7"/>
        <v>30</v>
      </c>
      <c r="O21" s="138">
        <f t="shared" si="17"/>
        <v>0.3125</v>
      </c>
      <c r="P21" s="396" t="str">
        <f t="shared" si="8"/>
        <v>Patricio Rojas</v>
      </c>
      <c r="Q21" s="396"/>
      <c r="R21" s="138">
        <v>0.45833333333333331</v>
      </c>
      <c r="S21" s="138">
        <v>0.66666666666666663</v>
      </c>
      <c r="T21" s="139">
        <f t="shared" si="9"/>
        <v>5</v>
      </c>
      <c r="U21" s="139">
        <f t="shared" si="10"/>
        <v>0</v>
      </c>
      <c r="V21" s="139">
        <f t="shared" si="11"/>
        <v>0</v>
      </c>
      <c r="W21" s="138">
        <f t="shared" si="18"/>
        <v>0.20833333333333331</v>
      </c>
      <c r="X21" s="390">
        <f>+(F21+M21+T21)*$G$2+(G21+N21+U21)*$G$2/60+V21*$G$2/60/60</f>
        <v>31250</v>
      </c>
      <c r="Y21" s="391"/>
      <c r="AA21" s="149" t="s">
        <v>46</v>
      </c>
    </row>
    <row r="22" spans="2:28" s="141" customFormat="1" ht="24" customHeight="1" x14ac:dyDescent="0.25">
      <c r="B22" s="398" t="s">
        <v>53</v>
      </c>
      <c r="C22" s="398"/>
      <c r="D22" s="148">
        <v>0</v>
      </c>
      <c r="E22" s="148">
        <v>0</v>
      </c>
      <c r="F22" s="139">
        <f t="shared" ref="F22" si="20">HOUR(E22-D22)</f>
        <v>0</v>
      </c>
      <c r="G22" s="139">
        <f t="shared" ref="G22" si="21">MINUTE(E22-D22)</f>
        <v>0</v>
      </c>
      <c r="H22" s="138">
        <f t="shared" si="16"/>
        <v>0</v>
      </c>
      <c r="I22" s="396" t="str">
        <f t="shared" ref="I22" si="22">+B22</f>
        <v>Patricio Rojas</v>
      </c>
      <c r="J22" s="396"/>
      <c r="K22" s="140">
        <v>0</v>
      </c>
      <c r="L22" s="140">
        <v>0</v>
      </c>
      <c r="M22" s="139">
        <f t="shared" ref="M22" si="23">HOUR(L22-K22)</f>
        <v>0</v>
      </c>
      <c r="N22" s="139">
        <f t="shared" ref="N22" si="24">MINUTE(L22-K22)</f>
        <v>0</v>
      </c>
      <c r="O22" s="138">
        <f t="shared" si="17"/>
        <v>0</v>
      </c>
      <c r="P22" s="396" t="str">
        <f t="shared" si="8"/>
        <v>Patricio Rojas</v>
      </c>
      <c r="Q22" s="396"/>
      <c r="R22" s="138">
        <v>0.84722222222222221</v>
      </c>
      <c r="S22" s="138">
        <v>1.2708912037037037</v>
      </c>
      <c r="T22" s="139">
        <f t="shared" si="9"/>
        <v>10</v>
      </c>
      <c r="U22" s="139">
        <f t="shared" si="10"/>
        <v>10</v>
      </c>
      <c r="V22" s="139">
        <f t="shared" si="11"/>
        <v>5</v>
      </c>
      <c r="W22" s="138">
        <f t="shared" si="18"/>
        <v>0.42366898148148147</v>
      </c>
      <c r="X22" s="390">
        <f t="shared" si="19"/>
        <v>25420.138888888891</v>
      </c>
      <c r="Y22" s="391"/>
    </row>
    <row r="23" spans="2:28" s="141" customFormat="1" ht="24" customHeight="1" x14ac:dyDescent="0.25">
      <c r="B23" s="398" t="s">
        <v>111</v>
      </c>
      <c r="C23" s="398"/>
      <c r="D23" s="138">
        <v>0.88194444444444453</v>
      </c>
      <c r="E23" s="138">
        <v>1.2083333333333333</v>
      </c>
      <c r="F23" s="139">
        <f t="shared" si="3"/>
        <v>7</v>
      </c>
      <c r="G23" s="139">
        <f t="shared" si="4"/>
        <v>50</v>
      </c>
      <c r="H23" s="138">
        <f t="shared" si="16"/>
        <v>0.32638888888888873</v>
      </c>
      <c r="I23" s="396" t="str">
        <f t="shared" si="5"/>
        <v>Gerardo Morales</v>
      </c>
      <c r="J23" s="396"/>
      <c r="K23" s="140">
        <v>0</v>
      </c>
      <c r="L23" s="140">
        <v>0</v>
      </c>
      <c r="M23" s="139">
        <f t="shared" si="6"/>
        <v>0</v>
      </c>
      <c r="N23" s="139">
        <f t="shared" si="7"/>
        <v>0</v>
      </c>
      <c r="O23" s="138">
        <f t="shared" si="17"/>
        <v>0</v>
      </c>
      <c r="P23" s="396" t="str">
        <f t="shared" si="8"/>
        <v>Gerardo Morales</v>
      </c>
      <c r="Q23" s="396"/>
      <c r="R23" s="138">
        <v>0.90138888888888891</v>
      </c>
      <c r="S23" s="138">
        <v>1.2604166666666667</v>
      </c>
      <c r="T23" s="139">
        <f t="shared" si="9"/>
        <v>8</v>
      </c>
      <c r="U23" s="139">
        <f t="shared" si="10"/>
        <v>37</v>
      </c>
      <c r="V23" s="139">
        <f t="shared" si="11"/>
        <v>0</v>
      </c>
      <c r="W23" s="138">
        <f t="shared" si="18"/>
        <v>0.35902777777777783</v>
      </c>
      <c r="X23" s="390">
        <f t="shared" si="19"/>
        <v>41125</v>
      </c>
      <c r="Y23" s="391"/>
    </row>
    <row r="24" spans="2:28" ht="24" customHeight="1" x14ac:dyDescent="0.25">
      <c r="B24" s="399" t="s">
        <v>117</v>
      </c>
      <c r="C24" s="399"/>
      <c r="D24" s="84">
        <v>0.89583333333333337</v>
      </c>
      <c r="E24" s="84">
        <v>1.2083333333333333</v>
      </c>
      <c r="F24" s="102">
        <f t="shared" si="3"/>
        <v>7</v>
      </c>
      <c r="G24" s="102">
        <f t="shared" si="4"/>
        <v>30</v>
      </c>
      <c r="H24" s="84">
        <f t="shared" si="16"/>
        <v>0.31249999999999989</v>
      </c>
      <c r="I24" s="348" t="str">
        <f t="shared" si="5"/>
        <v>Laura Uribe</v>
      </c>
      <c r="J24" s="348"/>
      <c r="K24" s="104">
        <v>0</v>
      </c>
      <c r="L24" s="104">
        <v>0</v>
      </c>
      <c r="M24" s="102">
        <f t="shared" si="6"/>
        <v>0</v>
      </c>
      <c r="N24" s="102">
        <f t="shared" si="7"/>
        <v>0</v>
      </c>
      <c r="O24" s="84">
        <f t="shared" si="17"/>
        <v>0</v>
      </c>
      <c r="P24" s="348" t="str">
        <f t="shared" si="8"/>
        <v>Laura Uribe</v>
      </c>
      <c r="Q24" s="348"/>
      <c r="R24" s="104">
        <v>0</v>
      </c>
      <c r="S24" s="104">
        <v>0</v>
      </c>
      <c r="T24" s="102">
        <f t="shared" si="9"/>
        <v>0</v>
      </c>
      <c r="U24" s="102">
        <f t="shared" si="10"/>
        <v>0</v>
      </c>
      <c r="V24" s="102">
        <f t="shared" si="11"/>
        <v>0</v>
      </c>
      <c r="W24" s="84">
        <f t="shared" si="18"/>
        <v>0</v>
      </c>
      <c r="X24" s="388">
        <f t="shared" si="19"/>
        <v>18750</v>
      </c>
      <c r="Y24" s="389"/>
    </row>
    <row r="25" spans="2:28" s="141" customFormat="1" ht="24" customHeight="1" x14ac:dyDescent="0.25">
      <c r="B25" s="398" t="s">
        <v>125</v>
      </c>
      <c r="C25" s="398"/>
      <c r="D25" s="148">
        <v>0</v>
      </c>
      <c r="E25" s="148">
        <v>0</v>
      </c>
      <c r="F25" s="139">
        <f t="shared" si="3"/>
        <v>0</v>
      </c>
      <c r="G25" s="139">
        <f t="shared" si="4"/>
        <v>0</v>
      </c>
      <c r="H25" s="138">
        <f t="shared" si="16"/>
        <v>0</v>
      </c>
      <c r="I25" s="396" t="str">
        <f t="shared" si="5"/>
        <v>Maria inés</v>
      </c>
      <c r="J25" s="396"/>
      <c r="K25" s="138">
        <v>0.875</v>
      </c>
      <c r="L25" s="138">
        <v>1.25</v>
      </c>
      <c r="M25" s="139">
        <f t="shared" si="6"/>
        <v>9</v>
      </c>
      <c r="N25" s="139">
        <f t="shared" si="7"/>
        <v>0</v>
      </c>
      <c r="O25" s="138">
        <f t="shared" si="17"/>
        <v>0.375</v>
      </c>
      <c r="P25" s="396" t="str">
        <f t="shared" si="8"/>
        <v>Maria inés</v>
      </c>
      <c r="Q25" s="396"/>
      <c r="R25" s="140">
        <v>0</v>
      </c>
      <c r="S25" s="140">
        <v>0</v>
      </c>
      <c r="T25" s="139">
        <f t="shared" si="9"/>
        <v>0</v>
      </c>
      <c r="U25" s="139">
        <f t="shared" si="10"/>
        <v>0</v>
      </c>
      <c r="V25" s="139">
        <f t="shared" si="11"/>
        <v>0</v>
      </c>
      <c r="W25" s="138">
        <f t="shared" si="18"/>
        <v>0</v>
      </c>
      <c r="X25" s="390">
        <f t="shared" si="19"/>
        <v>22500</v>
      </c>
      <c r="Y25" s="391"/>
    </row>
    <row r="26" spans="2:28" s="141" customFormat="1" ht="24" customHeight="1" x14ac:dyDescent="0.25">
      <c r="B26" s="401" t="s">
        <v>67</v>
      </c>
      <c r="C26" s="401"/>
      <c r="D26" s="145">
        <v>0</v>
      </c>
      <c r="E26" s="145">
        <v>0</v>
      </c>
      <c r="F26" s="139">
        <f t="shared" si="3"/>
        <v>0</v>
      </c>
      <c r="G26" s="139">
        <f t="shared" si="4"/>
        <v>0</v>
      </c>
      <c r="H26" s="138">
        <f t="shared" si="16"/>
        <v>0</v>
      </c>
      <c r="I26" s="396" t="str">
        <f t="shared" si="5"/>
        <v>Silvana</v>
      </c>
      <c r="J26" s="396"/>
      <c r="K26" s="146">
        <v>0.875</v>
      </c>
      <c r="L26" s="146">
        <v>1.25</v>
      </c>
      <c r="M26" s="139">
        <f t="shared" si="6"/>
        <v>9</v>
      </c>
      <c r="N26" s="139">
        <f t="shared" si="7"/>
        <v>0</v>
      </c>
      <c r="O26" s="138">
        <f t="shared" si="17"/>
        <v>0.375</v>
      </c>
      <c r="P26" s="396" t="str">
        <f t="shared" si="8"/>
        <v>Silvana</v>
      </c>
      <c r="Q26" s="396"/>
      <c r="R26" s="147">
        <v>0</v>
      </c>
      <c r="S26" s="147">
        <v>0</v>
      </c>
      <c r="T26" s="139">
        <f t="shared" si="9"/>
        <v>0</v>
      </c>
      <c r="U26" s="139">
        <f t="shared" si="10"/>
        <v>0</v>
      </c>
      <c r="V26" s="139">
        <f t="shared" si="11"/>
        <v>0</v>
      </c>
      <c r="W26" s="138">
        <f t="shared" si="18"/>
        <v>0</v>
      </c>
      <c r="X26" s="390">
        <f t="shared" si="19"/>
        <v>22500</v>
      </c>
      <c r="Y26" s="391"/>
    </row>
    <row r="27" spans="2:28" s="141" customFormat="1" ht="24" customHeight="1" x14ac:dyDescent="0.25">
      <c r="B27" s="395" t="s">
        <v>126</v>
      </c>
      <c r="C27" s="395"/>
      <c r="D27" s="142">
        <v>0</v>
      </c>
      <c r="E27" s="142">
        <v>0</v>
      </c>
      <c r="F27" s="139">
        <f t="shared" ref="F27:F31" si="25">HOUR(E27-D27)</f>
        <v>0</v>
      </c>
      <c r="G27" s="139">
        <f t="shared" ref="G27:G31" si="26">MINUTE(E27-D27)</f>
        <v>0</v>
      </c>
      <c r="H27" s="138">
        <f t="shared" si="16"/>
        <v>0</v>
      </c>
      <c r="I27" s="396" t="str">
        <f t="shared" ref="I27:I31" si="27">+B27</f>
        <v>David Serrano</v>
      </c>
      <c r="J27" s="396"/>
      <c r="K27" s="143">
        <v>0.88124999999999998</v>
      </c>
      <c r="L27" s="143">
        <v>1.25</v>
      </c>
      <c r="M27" s="139">
        <f t="shared" ref="M27:M31" si="28">HOUR(L27-K27)</f>
        <v>8</v>
      </c>
      <c r="N27" s="139">
        <f t="shared" ref="N27:N31" si="29">MINUTE(L27-K27)</f>
        <v>51</v>
      </c>
      <c r="O27" s="138">
        <f t="shared" si="17"/>
        <v>0.36875000000000002</v>
      </c>
      <c r="P27" s="396" t="str">
        <f t="shared" si="8"/>
        <v>David Serrano</v>
      </c>
      <c r="Q27" s="396"/>
      <c r="R27" s="143">
        <v>0</v>
      </c>
      <c r="S27" s="143">
        <v>1</v>
      </c>
      <c r="T27" s="139">
        <f t="shared" si="9"/>
        <v>0</v>
      </c>
      <c r="U27" s="139">
        <f t="shared" si="10"/>
        <v>0</v>
      </c>
      <c r="V27" s="139">
        <f t="shared" si="11"/>
        <v>0</v>
      </c>
      <c r="W27" s="138">
        <f t="shared" si="18"/>
        <v>1</v>
      </c>
      <c r="X27" s="390">
        <f t="shared" si="19"/>
        <v>22125</v>
      </c>
      <c r="Y27" s="391"/>
    </row>
    <row r="28" spans="2:28" s="141" customFormat="1" ht="24" customHeight="1" x14ac:dyDescent="0.25">
      <c r="B28" s="395" t="s">
        <v>126</v>
      </c>
      <c r="C28" s="395"/>
      <c r="D28" s="142">
        <v>0</v>
      </c>
      <c r="E28" s="142">
        <v>0</v>
      </c>
      <c r="F28" s="139">
        <f t="shared" ref="F28" si="30">HOUR(E28-D28)</f>
        <v>0</v>
      </c>
      <c r="G28" s="139">
        <f t="shared" ref="G28" si="31">MINUTE(E28-D28)</f>
        <v>0</v>
      </c>
      <c r="H28" s="138">
        <f t="shared" ref="H28" si="32">+E28-D28</f>
        <v>0</v>
      </c>
      <c r="I28" s="396" t="str">
        <f t="shared" ref="I28" si="33">+B28</f>
        <v>David Serrano</v>
      </c>
      <c r="J28" s="396"/>
      <c r="K28" s="143">
        <v>0</v>
      </c>
      <c r="L28" s="143">
        <v>1</v>
      </c>
      <c r="M28" s="139">
        <f t="shared" ref="M28" si="34">HOUR(L28-K28)</f>
        <v>0</v>
      </c>
      <c r="N28" s="139">
        <f t="shared" ref="N28" si="35">MINUTE(L28-K28)</f>
        <v>0</v>
      </c>
      <c r="O28" s="138">
        <f t="shared" ref="O28" si="36">+L28-K28</f>
        <v>1</v>
      </c>
      <c r="P28" s="396" t="str">
        <f t="shared" ref="P28" si="37">+B28</f>
        <v>David Serrano</v>
      </c>
      <c r="Q28" s="396"/>
      <c r="R28" s="143">
        <v>0.86805555555555547</v>
      </c>
      <c r="S28" s="143">
        <v>1.2605555555555554</v>
      </c>
      <c r="T28" s="139">
        <f t="shared" ref="T28" si="38">HOUR(S28-R28)</f>
        <v>9</v>
      </c>
      <c r="U28" s="139">
        <f t="shared" ref="U28" si="39">MINUTE(S28-R28)</f>
        <v>25</v>
      </c>
      <c r="V28" s="139">
        <f t="shared" ref="V28" si="40">SECOND(S28-R28)</f>
        <v>12</v>
      </c>
      <c r="W28" s="138">
        <f t="shared" ref="W28" si="41">+S28-R28</f>
        <v>0.39249999999999996</v>
      </c>
      <c r="X28" s="390">
        <f t="shared" ref="X28" si="42">+(F28+M28+T28)*$G$2+(G28+N28+U28)*$G$2/60+V28*$G$2/60/60</f>
        <v>23550</v>
      </c>
      <c r="Y28" s="391"/>
    </row>
    <row r="29" spans="2:28" s="141" customFormat="1" ht="24" customHeight="1" x14ac:dyDescent="0.25">
      <c r="B29" s="395" t="s">
        <v>127</v>
      </c>
      <c r="C29" s="395"/>
      <c r="D29" s="142">
        <v>0</v>
      </c>
      <c r="E29" s="142">
        <v>0</v>
      </c>
      <c r="F29" s="139">
        <f t="shared" si="25"/>
        <v>0</v>
      </c>
      <c r="G29" s="139">
        <f t="shared" si="26"/>
        <v>0</v>
      </c>
      <c r="H29" s="138">
        <f t="shared" si="16"/>
        <v>0</v>
      </c>
      <c r="I29" s="396" t="str">
        <f t="shared" si="27"/>
        <v>Carmen Olguin</v>
      </c>
      <c r="J29" s="396"/>
      <c r="K29" s="143">
        <v>0.90277777777777779</v>
      </c>
      <c r="L29" s="143">
        <v>1.2222222222222223</v>
      </c>
      <c r="M29" s="139">
        <f t="shared" si="28"/>
        <v>7</v>
      </c>
      <c r="N29" s="139">
        <f t="shared" si="29"/>
        <v>40</v>
      </c>
      <c r="O29" s="138">
        <f t="shared" si="17"/>
        <v>0.31944444444444453</v>
      </c>
      <c r="P29" s="396" t="str">
        <f t="shared" si="8"/>
        <v>Carmen Olguin</v>
      </c>
      <c r="Q29" s="396"/>
      <c r="R29" s="144">
        <v>0</v>
      </c>
      <c r="S29" s="144">
        <v>0</v>
      </c>
      <c r="T29" s="139">
        <f t="shared" si="9"/>
        <v>0</v>
      </c>
      <c r="U29" s="139">
        <f t="shared" si="10"/>
        <v>0</v>
      </c>
      <c r="V29" s="139">
        <f t="shared" si="11"/>
        <v>0</v>
      </c>
      <c r="W29" s="138">
        <f t="shared" si="18"/>
        <v>0</v>
      </c>
      <c r="X29" s="390">
        <f t="shared" si="19"/>
        <v>19166.666666666668</v>
      </c>
      <c r="Y29" s="391"/>
    </row>
    <row r="30" spans="2:28" ht="24" customHeight="1" x14ac:dyDescent="0.25">
      <c r="B30" s="394" t="s">
        <v>46</v>
      </c>
      <c r="C30" s="394"/>
      <c r="D30" s="81">
        <v>0</v>
      </c>
      <c r="E30" s="81">
        <v>0</v>
      </c>
      <c r="F30" s="102">
        <f t="shared" si="25"/>
        <v>0</v>
      </c>
      <c r="G30" s="102">
        <f t="shared" si="26"/>
        <v>0</v>
      </c>
      <c r="H30" s="84">
        <f t="shared" si="16"/>
        <v>0</v>
      </c>
      <c r="I30" s="348" t="str">
        <f t="shared" si="27"/>
        <v xml:space="preserve"> </v>
      </c>
      <c r="J30" s="348"/>
      <c r="K30" s="106">
        <v>0</v>
      </c>
      <c r="L30" s="106">
        <v>0</v>
      </c>
      <c r="M30" s="102">
        <f t="shared" si="28"/>
        <v>0</v>
      </c>
      <c r="N30" s="102">
        <f t="shared" si="29"/>
        <v>0</v>
      </c>
      <c r="O30" s="84">
        <f t="shared" si="17"/>
        <v>0</v>
      </c>
      <c r="P30" s="348" t="str">
        <f t="shared" si="8"/>
        <v xml:space="preserve"> </v>
      </c>
      <c r="Q30" s="348"/>
      <c r="R30" s="106">
        <v>0</v>
      </c>
      <c r="S30" s="106">
        <v>0</v>
      </c>
      <c r="T30" s="102">
        <f t="shared" si="9"/>
        <v>0</v>
      </c>
      <c r="U30" s="102">
        <f t="shared" si="10"/>
        <v>0</v>
      </c>
      <c r="V30" s="102">
        <f t="shared" si="11"/>
        <v>0</v>
      </c>
      <c r="W30" s="84">
        <f t="shared" si="18"/>
        <v>0</v>
      </c>
      <c r="X30" s="388">
        <f t="shared" si="19"/>
        <v>0</v>
      </c>
      <c r="Y30" s="389"/>
    </row>
    <row r="31" spans="2:28" ht="24" customHeight="1" x14ac:dyDescent="0.25">
      <c r="B31" s="394" t="s">
        <v>46</v>
      </c>
      <c r="C31" s="394"/>
      <c r="D31" s="81">
        <v>0</v>
      </c>
      <c r="E31" s="81">
        <v>0</v>
      </c>
      <c r="F31" s="102">
        <f t="shared" si="25"/>
        <v>0</v>
      </c>
      <c r="G31" s="102">
        <f t="shared" si="26"/>
        <v>0</v>
      </c>
      <c r="H31" s="84">
        <f t="shared" si="16"/>
        <v>0</v>
      </c>
      <c r="I31" s="348" t="str">
        <f t="shared" si="27"/>
        <v xml:space="preserve"> </v>
      </c>
      <c r="J31" s="348"/>
      <c r="K31" s="106">
        <v>0</v>
      </c>
      <c r="L31" s="106">
        <v>0</v>
      </c>
      <c r="M31" s="102">
        <f t="shared" si="28"/>
        <v>0</v>
      </c>
      <c r="N31" s="102">
        <f t="shared" si="29"/>
        <v>0</v>
      </c>
      <c r="O31" s="84">
        <f t="shared" si="17"/>
        <v>0</v>
      </c>
      <c r="P31" s="348" t="str">
        <f t="shared" si="8"/>
        <v xml:space="preserve"> </v>
      </c>
      <c r="Q31" s="348"/>
      <c r="R31" s="106">
        <v>0</v>
      </c>
      <c r="S31" s="106">
        <v>0</v>
      </c>
      <c r="T31" s="102">
        <f t="shared" si="9"/>
        <v>0</v>
      </c>
      <c r="U31" s="102">
        <f t="shared" si="10"/>
        <v>0</v>
      </c>
      <c r="V31" s="102">
        <f t="shared" si="11"/>
        <v>0</v>
      </c>
      <c r="W31" s="84">
        <f t="shared" si="18"/>
        <v>0</v>
      </c>
      <c r="X31" s="388">
        <f t="shared" si="19"/>
        <v>0</v>
      </c>
      <c r="Y31" s="389"/>
    </row>
    <row r="32" spans="2:28" ht="24" customHeight="1" x14ac:dyDescent="0.25">
      <c r="B32" s="394" t="s">
        <v>46</v>
      </c>
      <c r="C32" s="394"/>
      <c r="D32" s="81">
        <v>0</v>
      </c>
      <c r="E32" s="81">
        <v>0</v>
      </c>
      <c r="F32" s="102">
        <f t="shared" si="3"/>
        <v>0</v>
      </c>
      <c r="G32" s="102">
        <f t="shared" si="4"/>
        <v>0</v>
      </c>
      <c r="H32" s="84">
        <f t="shared" si="16"/>
        <v>0</v>
      </c>
      <c r="I32" s="348" t="str">
        <f t="shared" si="5"/>
        <v xml:space="preserve"> </v>
      </c>
      <c r="J32" s="348"/>
      <c r="K32" s="106">
        <v>0</v>
      </c>
      <c r="L32" s="106">
        <v>0</v>
      </c>
      <c r="M32" s="102">
        <f t="shared" si="6"/>
        <v>0</v>
      </c>
      <c r="N32" s="102">
        <f t="shared" si="7"/>
        <v>0</v>
      </c>
      <c r="O32" s="84">
        <f t="shared" si="17"/>
        <v>0</v>
      </c>
      <c r="P32" s="348" t="str">
        <f t="shared" si="8"/>
        <v xml:space="preserve"> </v>
      </c>
      <c r="Q32" s="348"/>
      <c r="R32" s="106">
        <v>0</v>
      </c>
      <c r="S32" s="106">
        <v>0</v>
      </c>
      <c r="T32" s="102">
        <f t="shared" si="9"/>
        <v>0</v>
      </c>
      <c r="U32" s="102">
        <f t="shared" si="10"/>
        <v>0</v>
      </c>
      <c r="V32" s="102">
        <f t="shared" si="11"/>
        <v>0</v>
      </c>
      <c r="W32" s="84">
        <f t="shared" si="18"/>
        <v>0</v>
      </c>
      <c r="X32" s="388">
        <f t="shared" si="19"/>
        <v>0</v>
      </c>
      <c r="Y32" s="389"/>
    </row>
    <row r="33" spans="2:25" ht="24" customHeight="1" x14ac:dyDescent="0.25">
      <c r="B33" s="394" t="s">
        <v>46</v>
      </c>
      <c r="C33" s="394"/>
      <c r="D33" s="81">
        <v>0</v>
      </c>
      <c r="E33" s="81">
        <v>0</v>
      </c>
      <c r="F33" s="102">
        <f t="shared" ref="F33" si="43">HOUR(E33-D33)</f>
        <v>0</v>
      </c>
      <c r="G33" s="102">
        <f t="shared" ref="G33" si="44">MINUTE(E33-D33)</f>
        <v>0</v>
      </c>
      <c r="H33" s="84">
        <f t="shared" si="16"/>
        <v>0</v>
      </c>
      <c r="I33" s="348" t="str">
        <f t="shared" ref="I33" si="45">+B33</f>
        <v xml:space="preserve"> </v>
      </c>
      <c r="J33" s="348"/>
      <c r="K33" s="106">
        <v>0</v>
      </c>
      <c r="L33" s="106">
        <v>0</v>
      </c>
      <c r="M33" s="102">
        <f t="shared" ref="M33" si="46">HOUR(L33-K33)</f>
        <v>0</v>
      </c>
      <c r="N33" s="102">
        <f t="shared" ref="N33" si="47">MINUTE(L33-K33)</f>
        <v>0</v>
      </c>
      <c r="O33" s="84">
        <f t="shared" si="17"/>
        <v>0</v>
      </c>
      <c r="P33" s="348" t="str">
        <f t="shared" si="8"/>
        <v xml:space="preserve"> </v>
      </c>
      <c r="Q33" s="348"/>
      <c r="R33" s="106">
        <v>0</v>
      </c>
      <c r="S33" s="106">
        <v>0</v>
      </c>
      <c r="T33" s="102">
        <f t="shared" si="9"/>
        <v>0</v>
      </c>
      <c r="U33" s="102">
        <f t="shared" si="10"/>
        <v>0</v>
      </c>
      <c r="V33" s="102">
        <f t="shared" si="11"/>
        <v>0</v>
      </c>
      <c r="W33" s="84">
        <f t="shared" si="18"/>
        <v>0</v>
      </c>
      <c r="X33" s="388">
        <f t="shared" si="19"/>
        <v>0</v>
      </c>
      <c r="Y33" s="389"/>
    </row>
    <row r="34" spans="2:25" ht="24" customHeight="1" x14ac:dyDescent="0.25">
      <c r="B34" s="394" t="s">
        <v>46</v>
      </c>
      <c r="C34" s="394"/>
      <c r="D34" s="81">
        <v>0</v>
      </c>
      <c r="E34" s="81">
        <v>0</v>
      </c>
      <c r="F34" s="102">
        <f t="shared" ref="F34" si="48">HOUR(E34-D34)</f>
        <v>0</v>
      </c>
      <c r="G34" s="102">
        <f t="shared" ref="G34" si="49">MINUTE(E34-D34)</f>
        <v>0</v>
      </c>
      <c r="H34" s="84">
        <f t="shared" si="16"/>
        <v>0</v>
      </c>
      <c r="I34" s="348" t="str">
        <f t="shared" ref="I34" si="50">+B34</f>
        <v xml:space="preserve"> </v>
      </c>
      <c r="J34" s="348"/>
      <c r="K34" s="106">
        <v>0</v>
      </c>
      <c r="L34" s="106">
        <v>0</v>
      </c>
      <c r="M34" s="102">
        <f t="shared" ref="M34" si="51">HOUR(L34-K34)</f>
        <v>0</v>
      </c>
      <c r="N34" s="102">
        <f t="shared" ref="N34" si="52">MINUTE(L34-K34)</f>
        <v>0</v>
      </c>
      <c r="O34" s="84">
        <f t="shared" si="17"/>
        <v>0</v>
      </c>
      <c r="P34" s="348" t="str">
        <f t="shared" si="8"/>
        <v xml:space="preserve"> </v>
      </c>
      <c r="Q34" s="348"/>
      <c r="R34" s="106">
        <v>0</v>
      </c>
      <c r="S34" s="106">
        <v>0</v>
      </c>
      <c r="T34" s="102">
        <f t="shared" si="9"/>
        <v>0</v>
      </c>
      <c r="U34" s="102">
        <f t="shared" si="10"/>
        <v>0</v>
      </c>
      <c r="V34" s="102">
        <f t="shared" si="11"/>
        <v>0</v>
      </c>
      <c r="W34" s="84">
        <f t="shared" si="18"/>
        <v>0</v>
      </c>
      <c r="X34" s="388">
        <f t="shared" si="19"/>
        <v>0</v>
      </c>
      <c r="Y34" s="389"/>
    </row>
    <row r="35" spans="2:25" ht="24" customHeight="1" x14ac:dyDescent="0.25">
      <c r="B35" s="394" t="s">
        <v>46</v>
      </c>
      <c r="C35" s="394"/>
      <c r="D35" s="81">
        <v>0</v>
      </c>
      <c r="E35" s="81">
        <v>0</v>
      </c>
      <c r="F35" s="102">
        <f t="shared" si="3"/>
        <v>0</v>
      </c>
      <c r="G35" s="102">
        <f t="shared" si="4"/>
        <v>0</v>
      </c>
      <c r="H35" s="84">
        <f t="shared" si="16"/>
        <v>0</v>
      </c>
      <c r="I35" s="348" t="str">
        <f t="shared" si="5"/>
        <v xml:space="preserve"> </v>
      </c>
      <c r="J35" s="348"/>
      <c r="K35" s="106">
        <v>0</v>
      </c>
      <c r="L35" s="106">
        <v>0</v>
      </c>
      <c r="M35" s="102">
        <f t="shared" si="6"/>
        <v>0</v>
      </c>
      <c r="N35" s="102">
        <f t="shared" si="7"/>
        <v>0</v>
      </c>
      <c r="O35" s="84">
        <f t="shared" si="17"/>
        <v>0</v>
      </c>
      <c r="P35" s="348" t="str">
        <f t="shared" si="8"/>
        <v xml:space="preserve"> </v>
      </c>
      <c r="Q35" s="348"/>
      <c r="R35" s="106">
        <v>0</v>
      </c>
      <c r="S35" s="106">
        <v>0</v>
      </c>
      <c r="T35" s="102">
        <f t="shared" si="9"/>
        <v>0</v>
      </c>
      <c r="U35" s="102">
        <f t="shared" si="10"/>
        <v>0</v>
      </c>
      <c r="V35" s="102">
        <f t="shared" si="11"/>
        <v>0</v>
      </c>
      <c r="W35" s="84">
        <f t="shared" si="18"/>
        <v>0</v>
      </c>
      <c r="X35" s="388">
        <f t="shared" si="19"/>
        <v>0</v>
      </c>
      <c r="Y35" s="389"/>
    </row>
    <row r="36" spans="2:25" ht="27" customHeight="1" x14ac:dyDescent="0.25">
      <c r="B36" s="347"/>
      <c r="C36" s="347"/>
      <c r="D36" s="55"/>
      <c r="E36" s="55"/>
      <c r="F36" s="101">
        <f>SUM(F7:F35)</f>
        <v>74</v>
      </c>
      <c r="G36" s="101">
        <f>SUM(G7:G35)</f>
        <v>297</v>
      </c>
      <c r="H36" s="55"/>
      <c r="I36" s="347"/>
      <c r="J36" s="347"/>
      <c r="K36" s="86"/>
      <c r="L36" s="86"/>
      <c r="M36" s="101">
        <f>SUM(M7:M35)</f>
        <v>82</v>
      </c>
      <c r="N36" s="101">
        <f>SUM(N7:N35)</f>
        <v>307</v>
      </c>
      <c r="O36" s="86"/>
      <c r="P36" s="347"/>
      <c r="Q36" s="347"/>
      <c r="R36" s="86"/>
      <c r="S36" s="86"/>
      <c r="T36" s="101">
        <f>SUM(T7:T35)</f>
        <v>82</v>
      </c>
      <c r="U36" s="101">
        <f>SUM(U7:U35)</f>
        <v>152</v>
      </c>
      <c r="V36" s="101">
        <f>SUM(V7:V35)</f>
        <v>53</v>
      </c>
      <c r="W36" s="86"/>
      <c r="X36" s="388">
        <f>SUM(X7:Y35)</f>
        <v>626536.8055555555</v>
      </c>
      <c r="Y36" s="389"/>
    </row>
    <row r="37" spans="2:25" ht="24.95" customHeight="1" x14ac:dyDescent="0.25">
      <c r="B37" s="347"/>
      <c r="C37" s="347"/>
      <c r="D37" s="347" t="s">
        <v>128</v>
      </c>
      <c r="E37" s="347"/>
      <c r="F37" s="86">
        <f>+INT(G36/60)</f>
        <v>4</v>
      </c>
      <c r="G37" s="86"/>
      <c r="H37" s="55"/>
      <c r="I37" s="347"/>
      <c r="J37" s="347"/>
      <c r="K37" s="347" t="s">
        <v>129</v>
      </c>
      <c r="L37" s="347"/>
      <c r="M37" s="86">
        <f>+INT(N36/60)</f>
        <v>5</v>
      </c>
      <c r="N37" s="86"/>
      <c r="O37" s="86"/>
      <c r="P37" s="347"/>
      <c r="Q37" s="347"/>
      <c r="R37" s="347" t="s">
        <v>130</v>
      </c>
      <c r="S37" s="347"/>
      <c r="T37" s="86">
        <f>+INT(U36/60)</f>
        <v>2</v>
      </c>
      <c r="U37" s="86"/>
      <c r="V37" s="100"/>
      <c r="W37" s="86"/>
    </row>
    <row r="38" spans="2:25" ht="24.95" customHeight="1" x14ac:dyDescent="0.25">
      <c r="B38" s="347"/>
      <c r="C38" s="347"/>
      <c r="D38" s="333" t="s">
        <v>120</v>
      </c>
      <c r="E38" s="333"/>
      <c r="F38" s="103">
        <f>+F37+F36</f>
        <v>78</v>
      </c>
      <c r="G38" s="85"/>
      <c r="H38" s="101"/>
      <c r="I38" s="347"/>
      <c r="J38" s="347"/>
      <c r="K38" s="333" t="s">
        <v>120</v>
      </c>
      <c r="L38" s="333"/>
      <c r="M38" s="103">
        <f>+M37+M36</f>
        <v>87</v>
      </c>
      <c r="N38" s="85"/>
      <c r="O38" s="101"/>
      <c r="P38" s="347"/>
      <c r="Q38" s="347"/>
      <c r="R38" s="333" t="s">
        <v>120</v>
      </c>
      <c r="S38" s="333"/>
      <c r="T38" s="103">
        <f>+T37+T36</f>
        <v>84</v>
      </c>
      <c r="U38" s="85"/>
      <c r="V38" s="99"/>
      <c r="W38" s="101"/>
    </row>
    <row r="39" spans="2:25" ht="24.95" customHeight="1" x14ac:dyDescent="0.25">
      <c r="B39" s="347"/>
      <c r="C39" s="347"/>
      <c r="D39" s="333" t="s">
        <v>121</v>
      </c>
      <c r="E39" s="333"/>
      <c r="F39" s="85">
        <f>+G36-F37*60</f>
        <v>57</v>
      </c>
      <c r="G39" s="85"/>
      <c r="H39" s="101"/>
      <c r="I39" s="347"/>
      <c r="J39" s="347"/>
      <c r="K39" s="333" t="s">
        <v>121</v>
      </c>
      <c r="L39" s="333"/>
      <c r="M39" s="85">
        <f>+N36-M37*60</f>
        <v>7</v>
      </c>
      <c r="N39" s="85"/>
      <c r="O39" s="101"/>
      <c r="P39" s="347"/>
      <c r="Q39" s="347"/>
      <c r="R39" s="333" t="s">
        <v>121</v>
      </c>
      <c r="S39" s="333"/>
      <c r="T39" s="85">
        <f>+U36-T37*60</f>
        <v>32</v>
      </c>
      <c r="U39" s="85"/>
      <c r="V39" s="99"/>
      <c r="W39" s="101"/>
    </row>
    <row r="40" spans="2:25" ht="24.95" customHeight="1" x14ac:dyDescent="0.25">
      <c r="B40" s="347"/>
      <c r="C40" s="347"/>
      <c r="D40" s="55"/>
      <c r="E40" s="55"/>
      <c r="F40" s="86"/>
      <c r="G40" s="86"/>
      <c r="H40" s="55"/>
      <c r="I40" s="347"/>
      <c r="J40" s="347"/>
      <c r="K40" s="86"/>
      <c r="L40" s="86"/>
      <c r="M40" s="86"/>
      <c r="N40" s="86"/>
      <c r="O40" s="86"/>
      <c r="P40" s="347"/>
      <c r="Q40" s="347"/>
      <c r="R40" s="333" t="s">
        <v>140</v>
      </c>
      <c r="S40" s="333"/>
      <c r="T40" s="103">
        <f>+V36</f>
        <v>53</v>
      </c>
      <c r="U40" s="86"/>
      <c r="V40" s="100"/>
      <c r="W40" s="86"/>
    </row>
    <row r="41" spans="2:25" ht="24.95" customHeight="1" x14ac:dyDescent="0.25">
      <c r="B41" s="347"/>
      <c r="C41" s="347"/>
      <c r="D41" s="55"/>
      <c r="E41" s="55"/>
      <c r="F41" s="86"/>
      <c r="G41" s="86"/>
      <c r="H41" s="55"/>
      <c r="I41" s="347"/>
      <c r="J41" s="347"/>
      <c r="K41" s="86"/>
      <c r="L41" s="86"/>
      <c r="M41" s="86"/>
      <c r="N41" s="86"/>
      <c r="O41" s="86"/>
      <c r="P41" s="347"/>
      <c r="Q41" s="347"/>
      <c r="R41" s="86"/>
      <c r="S41" s="86"/>
      <c r="T41" s="86"/>
      <c r="U41" s="86"/>
      <c r="V41" s="100"/>
      <c r="W41" s="86"/>
    </row>
    <row r="42" spans="2:25" ht="24.95" customHeight="1" x14ac:dyDescent="0.25">
      <c r="B42" s="347"/>
      <c r="C42" s="347"/>
      <c r="D42" s="400" t="s">
        <v>109</v>
      </c>
      <c r="E42" s="400"/>
      <c r="F42" s="400"/>
      <c r="G42" s="400"/>
      <c r="H42" s="108">
        <f>+H43*G2+H44*G2/60+T40*G2/60/60</f>
        <v>626536.8055555555</v>
      </c>
      <c r="I42" s="347"/>
      <c r="J42" s="347"/>
      <c r="K42" s="86"/>
      <c r="L42" s="86"/>
      <c r="M42" s="86"/>
      <c r="N42" s="86"/>
      <c r="O42" s="86"/>
      <c r="P42" s="347"/>
      <c r="Q42" s="347"/>
      <c r="R42" s="86"/>
      <c r="S42" s="86"/>
      <c r="T42" s="86"/>
      <c r="U42" s="86"/>
      <c r="V42" s="100"/>
      <c r="W42" s="86"/>
    </row>
    <row r="43" spans="2:25" ht="24.95" customHeight="1" x14ac:dyDescent="0.25">
      <c r="B43" s="347"/>
      <c r="C43" s="347"/>
      <c r="D43" s="333" t="s">
        <v>122</v>
      </c>
      <c r="E43" s="333"/>
      <c r="F43" s="103">
        <f>+F38+M38+T38</f>
        <v>249</v>
      </c>
      <c r="G43" s="86">
        <f>+INT(F44/60)</f>
        <v>1</v>
      </c>
      <c r="H43" s="101">
        <f>+G43+F43</f>
        <v>250</v>
      </c>
      <c r="I43" s="347"/>
      <c r="J43" s="347"/>
      <c r="K43" s="86"/>
      <c r="L43" s="86"/>
      <c r="M43" s="86"/>
      <c r="N43" s="86"/>
      <c r="O43" s="86"/>
      <c r="P43" s="347"/>
      <c r="Q43" s="347"/>
      <c r="R43" s="86"/>
      <c r="S43" s="86"/>
      <c r="T43" s="86"/>
      <c r="U43" s="86"/>
      <c r="V43" s="100"/>
      <c r="W43" s="86"/>
    </row>
    <row r="44" spans="2:25" ht="24.95" customHeight="1" x14ac:dyDescent="0.25">
      <c r="B44" s="347"/>
      <c r="C44" s="347"/>
      <c r="D44" s="333" t="s">
        <v>123</v>
      </c>
      <c r="E44" s="333"/>
      <c r="F44" s="85">
        <f>+T39+M39+F39</f>
        <v>96</v>
      </c>
      <c r="G44" s="86"/>
      <c r="H44" s="55">
        <f>+F44-G43*60</f>
        <v>36</v>
      </c>
      <c r="I44" s="347"/>
      <c r="J44" s="347"/>
      <c r="K44" s="86"/>
      <c r="L44" s="86"/>
      <c r="M44" s="86"/>
      <c r="N44" s="86"/>
      <c r="O44" s="86"/>
      <c r="P44" s="347"/>
      <c r="Q44" s="347"/>
      <c r="R44" s="86"/>
      <c r="S44" s="86"/>
      <c r="T44" s="86"/>
      <c r="U44" s="86"/>
      <c r="V44" s="100"/>
      <c r="W44" s="86"/>
    </row>
    <row r="45" spans="2:25" ht="24.95" customHeight="1" x14ac:dyDescent="0.25">
      <c r="B45" s="347"/>
      <c r="C45" s="347"/>
      <c r="D45" s="55"/>
      <c r="E45" s="55"/>
      <c r="F45" s="86"/>
      <c r="G45" s="86"/>
      <c r="H45" s="55"/>
      <c r="I45" s="347"/>
      <c r="J45" s="347"/>
      <c r="K45" s="86"/>
      <c r="L45" s="86"/>
      <c r="M45" s="86"/>
      <c r="N45" s="86"/>
      <c r="O45" s="86"/>
      <c r="P45" s="347"/>
      <c r="Q45" s="347"/>
      <c r="R45" s="86"/>
      <c r="S45" s="86"/>
      <c r="T45" s="86"/>
      <c r="U45" s="86"/>
      <c r="V45" s="100"/>
      <c r="W45" s="86"/>
    </row>
    <row r="46" spans="2:25" ht="24.95" customHeight="1" x14ac:dyDescent="0.25">
      <c r="B46" s="347"/>
      <c r="C46" s="347"/>
      <c r="D46" s="55"/>
      <c r="E46" s="55"/>
      <c r="F46" s="86"/>
      <c r="G46" s="86"/>
      <c r="H46" s="55"/>
      <c r="I46" s="347"/>
      <c r="J46" s="347"/>
      <c r="K46" s="86"/>
      <c r="L46" s="86"/>
      <c r="M46" s="86"/>
      <c r="N46" s="86"/>
      <c r="O46" s="86"/>
      <c r="P46" s="347"/>
      <c r="Q46" s="347"/>
      <c r="R46" s="86"/>
      <c r="S46" s="86"/>
      <c r="T46" s="86"/>
      <c r="U46" s="86"/>
      <c r="V46" s="100"/>
      <c r="W46" s="86"/>
    </row>
    <row r="47" spans="2:25" ht="24.95" customHeight="1" x14ac:dyDescent="0.25">
      <c r="B47" s="347"/>
      <c r="C47" s="347"/>
      <c r="D47" s="55"/>
      <c r="E47" s="55"/>
      <c r="F47" s="86"/>
      <c r="G47" s="86"/>
      <c r="H47" s="55"/>
      <c r="I47" s="347"/>
      <c r="J47" s="347"/>
      <c r="K47" s="86"/>
      <c r="L47" s="86"/>
      <c r="M47" s="86"/>
      <c r="N47" s="86"/>
      <c r="O47" s="86"/>
      <c r="P47" s="347"/>
      <c r="Q47" s="347"/>
      <c r="R47" s="86"/>
      <c r="S47" s="86"/>
      <c r="T47" s="86"/>
      <c r="U47" s="86"/>
      <c r="V47" s="100"/>
      <c r="W47" s="86"/>
    </row>
    <row r="48" spans="2:25" ht="24.95" customHeight="1" x14ac:dyDescent="0.25"/>
  </sheetData>
  <mergeCells count="180">
    <mergeCell ref="B4:C4"/>
    <mergeCell ref="I4:J4"/>
    <mergeCell ref="P4:Q4"/>
    <mergeCell ref="B5:C5"/>
    <mergeCell ref="I5:J5"/>
    <mergeCell ref="P5:Q5"/>
    <mergeCell ref="F4:H4"/>
    <mergeCell ref="M4:O4"/>
    <mergeCell ref="R40:S40"/>
    <mergeCell ref="B6:C6"/>
    <mergeCell ref="I6:J6"/>
    <mergeCell ref="P6:Q6"/>
    <mergeCell ref="B7:C7"/>
    <mergeCell ref="I7:J7"/>
    <mergeCell ref="P7:Q7"/>
    <mergeCell ref="B8:C8"/>
    <mergeCell ref="I8:J8"/>
    <mergeCell ref="P8:Q8"/>
    <mergeCell ref="B12:C12"/>
    <mergeCell ref="I12:J12"/>
    <mergeCell ref="P12:Q12"/>
    <mergeCell ref="B13:C13"/>
    <mergeCell ref="I13:J13"/>
    <mergeCell ref="P13:Q13"/>
    <mergeCell ref="B15:C15"/>
    <mergeCell ref="I15:J15"/>
    <mergeCell ref="P15:Q15"/>
    <mergeCell ref="B14:C14"/>
    <mergeCell ref="I14:J14"/>
    <mergeCell ref="P14:Q14"/>
    <mergeCell ref="B17:C17"/>
    <mergeCell ref="I17:J17"/>
    <mergeCell ref="P17:Q17"/>
    <mergeCell ref="B26:C26"/>
    <mergeCell ref="I26:J26"/>
    <mergeCell ref="P26:Q26"/>
    <mergeCell ref="B18:C18"/>
    <mergeCell ref="I18:J18"/>
    <mergeCell ref="P18:Q18"/>
    <mergeCell ref="B16:C16"/>
    <mergeCell ref="I16:J16"/>
    <mergeCell ref="P16:Q16"/>
    <mergeCell ref="B20:C20"/>
    <mergeCell ref="I20:J20"/>
    <mergeCell ref="P20:Q20"/>
    <mergeCell ref="D43:E43"/>
    <mergeCell ref="D44:E44"/>
    <mergeCell ref="B39:C39"/>
    <mergeCell ref="I39:J39"/>
    <mergeCell ref="P39:Q39"/>
    <mergeCell ref="B40:C40"/>
    <mergeCell ref="I40:J40"/>
    <mergeCell ref="P40:Q40"/>
    <mergeCell ref="D39:E39"/>
    <mergeCell ref="K39:L39"/>
    <mergeCell ref="D42:G42"/>
    <mergeCell ref="B47:C47"/>
    <mergeCell ref="I47:J47"/>
    <mergeCell ref="P47:Q47"/>
    <mergeCell ref="B9:C9"/>
    <mergeCell ref="I9:J9"/>
    <mergeCell ref="P9:Q9"/>
    <mergeCell ref="B45:C45"/>
    <mergeCell ref="I45:J45"/>
    <mergeCell ref="P45:Q45"/>
    <mergeCell ref="B46:C46"/>
    <mergeCell ref="I46:J46"/>
    <mergeCell ref="P46:Q46"/>
    <mergeCell ref="B43:C43"/>
    <mergeCell ref="I43:J43"/>
    <mergeCell ref="P43:Q43"/>
    <mergeCell ref="B44:C44"/>
    <mergeCell ref="I44:J44"/>
    <mergeCell ref="P44:Q44"/>
    <mergeCell ref="B41:C41"/>
    <mergeCell ref="I41:J41"/>
    <mergeCell ref="P41:Q41"/>
    <mergeCell ref="B42:C42"/>
    <mergeCell ref="I42:J42"/>
    <mergeCell ref="P42:Q42"/>
    <mergeCell ref="B10:C10"/>
    <mergeCell ref="I10:J10"/>
    <mergeCell ref="P10:Q10"/>
    <mergeCell ref="B11:C11"/>
    <mergeCell ref="I11:J11"/>
    <mergeCell ref="P11:Q11"/>
    <mergeCell ref="B25:C25"/>
    <mergeCell ref="I25:J25"/>
    <mergeCell ref="P25:Q25"/>
    <mergeCell ref="B23:C23"/>
    <mergeCell ref="I23:J23"/>
    <mergeCell ref="P23:Q23"/>
    <mergeCell ref="B24:C24"/>
    <mergeCell ref="I24:J24"/>
    <mergeCell ref="P24:Q24"/>
    <mergeCell ref="B22:C22"/>
    <mergeCell ref="I22:J22"/>
    <mergeCell ref="P22:Q22"/>
    <mergeCell ref="B21:C21"/>
    <mergeCell ref="I21:J21"/>
    <mergeCell ref="P21:Q21"/>
    <mergeCell ref="I19:J19"/>
    <mergeCell ref="B19:C19"/>
    <mergeCell ref="P19:Q19"/>
    <mergeCell ref="B27:C27"/>
    <mergeCell ref="I27:J27"/>
    <mergeCell ref="P27:Q27"/>
    <mergeCell ref="B29:C29"/>
    <mergeCell ref="I29:J29"/>
    <mergeCell ref="P29:Q29"/>
    <mergeCell ref="B34:C34"/>
    <mergeCell ref="I34:J34"/>
    <mergeCell ref="P34:Q34"/>
    <mergeCell ref="B32:C32"/>
    <mergeCell ref="I32:J32"/>
    <mergeCell ref="P32:Q32"/>
    <mergeCell ref="B33:C33"/>
    <mergeCell ref="I33:J33"/>
    <mergeCell ref="P33:Q33"/>
    <mergeCell ref="B28:C28"/>
    <mergeCell ref="I28:J28"/>
    <mergeCell ref="P28:Q28"/>
    <mergeCell ref="R39:S39"/>
    <mergeCell ref="D37:E37"/>
    <mergeCell ref="K37:L37"/>
    <mergeCell ref="R37:S37"/>
    <mergeCell ref="B30:C30"/>
    <mergeCell ref="I30:J30"/>
    <mergeCell ref="P30:Q30"/>
    <mergeCell ref="B31:C31"/>
    <mergeCell ref="I31:J31"/>
    <mergeCell ref="P31:Q31"/>
    <mergeCell ref="B38:C38"/>
    <mergeCell ref="I38:J38"/>
    <mergeCell ref="P38:Q38"/>
    <mergeCell ref="D38:E38"/>
    <mergeCell ref="K38:L38"/>
    <mergeCell ref="B35:C35"/>
    <mergeCell ref="I35:J35"/>
    <mergeCell ref="P35:Q35"/>
    <mergeCell ref="B36:C36"/>
    <mergeCell ref="I36:J36"/>
    <mergeCell ref="P36:Q36"/>
    <mergeCell ref="B37:C37"/>
    <mergeCell ref="I37:J37"/>
    <mergeCell ref="P37:Q37"/>
    <mergeCell ref="X12:Y12"/>
    <mergeCell ref="X13:Y13"/>
    <mergeCell ref="X14:Y14"/>
    <mergeCell ref="T4:W4"/>
    <mergeCell ref="R38:S38"/>
    <mergeCell ref="X28:Y28"/>
    <mergeCell ref="X34:Y34"/>
    <mergeCell ref="X35:Y35"/>
    <mergeCell ref="X36:Y36"/>
    <mergeCell ref="X33:Y33"/>
    <mergeCell ref="D2:F2"/>
    <mergeCell ref="X24:Y24"/>
    <mergeCell ref="X25:Y25"/>
    <mergeCell ref="X26:Y26"/>
    <mergeCell ref="X27:Y27"/>
    <mergeCell ref="X29:Y29"/>
    <mergeCell ref="X30:Y30"/>
    <mergeCell ref="X31:Y31"/>
    <mergeCell ref="X32:Y32"/>
    <mergeCell ref="X15:Y15"/>
    <mergeCell ref="X16:Y16"/>
    <mergeCell ref="X17:Y17"/>
    <mergeCell ref="X18:Y18"/>
    <mergeCell ref="X19:Y19"/>
    <mergeCell ref="X20:Y20"/>
    <mergeCell ref="X21:Y21"/>
    <mergeCell ref="X22:Y22"/>
    <mergeCell ref="X23:Y23"/>
    <mergeCell ref="X4:Y4"/>
    <mergeCell ref="X7:Y7"/>
    <mergeCell ref="X8:Y8"/>
    <mergeCell ref="X9:Y9"/>
    <mergeCell ref="X10:Y10"/>
    <mergeCell ref="X11:Y1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1"/>
  <sheetViews>
    <sheetView topLeftCell="A34" workbookViewId="0">
      <selection activeCell="K12" sqref="K12"/>
    </sheetView>
  </sheetViews>
  <sheetFormatPr baseColWidth="10" defaultColWidth="11.5703125" defaultRowHeight="15" x14ac:dyDescent="0.25"/>
  <cols>
    <col min="1" max="1" width="4.85546875" style="3" customWidth="1"/>
    <col min="2" max="2" width="22.140625" style="2" customWidth="1"/>
    <col min="3" max="4" width="6.5703125" customWidth="1"/>
    <col min="5" max="5" width="7.28515625" customWidth="1"/>
    <col min="6" max="6" width="11" customWidth="1"/>
    <col min="7" max="7" width="8" customWidth="1"/>
    <col min="8" max="9" width="9.5703125" customWidth="1"/>
    <col min="14" max="14" width="6.5703125" style="3" customWidth="1"/>
    <col min="15" max="15" width="20.42578125" style="2" customWidth="1"/>
    <col min="16" max="16" width="11.7109375" style="18" customWidth="1"/>
    <col min="17" max="17" width="11.42578125" style="4"/>
    <col min="18" max="18" width="11.42578125" style="15"/>
    <col min="19" max="19" width="11.42578125" style="2"/>
  </cols>
  <sheetData>
    <row r="2" spans="1:19" ht="15.75" thickBot="1" x14ac:dyDescent="0.3">
      <c r="F2" s="71">
        <f>SUM(F5:F34)</f>
        <v>6614120</v>
      </c>
      <c r="G2" s="71" t="s">
        <v>46</v>
      </c>
      <c r="H2" s="71" t="s">
        <v>46</v>
      </c>
      <c r="I2" s="71">
        <f>SUM(I5:I34)</f>
        <v>3558020</v>
      </c>
      <c r="J2" s="71">
        <f>SUM(J5:J34)</f>
        <v>3056100</v>
      </c>
      <c r="K2" s="71"/>
      <c r="L2" s="71"/>
    </row>
    <row r="3" spans="1:19" s="110" customFormat="1" x14ac:dyDescent="0.25">
      <c r="A3" s="15"/>
      <c r="B3" s="60"/>
      <c r="C3" s="371" t="s">
        <v>94</v>
      </c>
      <c r="D3" s="372"/>
      <c r="E3" s="372"/>
      <c r="F3" s="383"/>
      <c r="G3" s="371" t="s">
        <v>88</v>
      </c>
      <c r="H3" s="372"/>
      <c r="I3" s="383"/>
      <c r="J3" s="69" t="s">
        <v>95</v>
      </c>
      <c r="K3" s="96"/>
      <c r="L3" s="96"/>
      <c r="N3" s="15"/>
      <c r="O3" s="60"/>
      <c r="P3" s="61"/>
      <c r="Q3" s="62"/>
      <c r="R3" s="15"/>
      <c r="S3" s="60"/>
    </row>
    <row r="4" spans="1:19" s="63" customFormat="1" ht="13.5" thickBot="1" x14ac:dyDescent="0.25">
      <c r="B4" s="63" t="s">
        <v>26</v>
      </c>
      <c r="C4" s="66" t="s">
        <v>27</v>
      </c>
      <c r="D4" s="67" t="s">
        <v>87</v>
      </c>
      <c r="E4" s="67" t="s">
        <v>28</v>
      </c>
      <c r="F4" s="68" t="s">
        <v>93</v>
      </c>
      <c r="G4" s="66" t="s">
        <v>89</v>
      </c>
      <c r="H4" s="67" t="s">
        <v>90</v>
      </c>
      <c r="I4" s="68" t="s">
        <v>91</v>
      </c>
      <c r="J4" s="70" t="s">
        <v>92</v>
      </c>
      <c r="K4" s="97"/>
      <c r="L4" s="97"/>
      <c r="M4" s="65">
        <f>+J2</f>
        <v>3056100</v>
      </c>
      <c r="O4" s="63" t="s">
        <v>26</v>
      </c>
      <c r="P4" s="64"/>
      <c r="Q4" s="65" t="s">
        <v>27</v>
      </c>
      <c r="R4" s="63" t="s">
        <v>71</v>
      </c>
      <c r="S4" s="63" t="s">
        <v>70</v>
      </c>
    </row>
    <row r="5" spans="1:19" s="1" customFormat="1" ht="23.1" customHeight="1" x14ac:dyDescent="0.3">
      <c r="A5" s="3" t="s">
        <v>46</v>
      </c>
      <c r="B5" s="6" t="s">
        <v>5</v>
      </c>
      <c r="C5" s="7">
        <v>480</v>
      </c>
      <c r="D5" s="7">
        <v>24</v>
      </c>
      <c r="E5" s="7">
        <v>5</v>
      </c>
      <c r="F5" s="7">
        <f>+E5*D5*C5</f>
        <v>57600</v>
      </c>
      <c r="G5" s="88">
        <v>0</v>
      </c>
      <c r="H5" s="57">
        <v>0</v>
      </c>
      <c r="I5" s="57">
        <f>+(G5*D5*C5)+(C5*H5)</f>
        <v>0</v>
      </c>
      <c r="J5" s="8">
        <f>+F5-I5</f>
        <v>57600</v>
      </c>
      <c r="K5" s="38">
        <f>+J5+J6+J7+J8+J9+J10</f>
        <v>195840</v>
      </c>
      <c r="L5" s="38"/>
      <c r="M5" s="4">
        <v>0</v>
      </c>
      <c r="N5" s="95" t="s">
        <v>118</v>
      </c>
      <c r="O5" s="19" t="str">
        <f>+B5</f>
        <v>Coca cola zero</v>
      </c>
      <c r="P5" s="20"/>
      <c r="Q5" s="21">
        <v>1000</v>
      </c>
      <c r="R5" s="31">
        <f>+S5/C5*100</f>
        <v>108.33333333333333</v>
      </c>
      <c r="S5" s="22">
        <f>+Q5-C5</f>
        <v>520</v>
      </c>
    </row>
    <row r="6" spans="1:19" s="1" customFormat="1" ht="23.1" customHeight="1" x14ac:dyDescent="0.3">
      <c r="A6" s="3" t="s">
        <v>46</v>
      </c>
      <c r="B6" s="9" t="s">
        <v>0</v>
      </c>
      <c r="C6" s="10">
        <v>480</v>
      </c>
      <c r="D6" s="10">
        <v>24</v>
      </c>
      <c r="E6" s="10">
        <v>50</v>
      </c>
      <c r="F6" s="10">
        <f>+E6*D6*C6</f>
        <v>576000</v>
      </c>
      <c r="G6" s="89">
        <v>50</v>
      </c>
      <c r="H6" s="58">
        <v>0</v>
      </c>
      <c r="I6" s="58">
        <f>+(G6*D6*C6)+(C6*H6)</f>
        <v>576000</v>
      </c>
      <c r="J6" s="11">
        <f>+F6-I6</f>
        <v>0</v>
      </c>
      <c r="K6" s="38">
        <f>+J12+J13</f>
        <v>691200</v>
      </c>
      <c r="L6" s="38"/>
      <c r="M6" s="4">
        <v>0</v>
      </c>
      <c r="N6" s="95" t="s">
        <v>119</v>
      </c>
      <c r="O6" s="23" t="str">
        <f t="shared" ref="O6:O34" si="0">+B6</f>
        <v>Coca cola normal</v>
      </c>
      <c r="P6" s="24"/>
      <c r="Q6" s="25">
        <v>1000</v>
      </c>
      <c r="R6" s="32">
        <f>+S6/C6*100</f>
        <v>108.33333333333333</v>
      </c>
      <c r="S6" s="26">
        <f t="shared" ref="S6:S34" si="1">+Q6-C6</f>
        <v>520</v>
      </c>
    </row>
    <row r="7" spans="1:19" s="1" customFormat="1" ht="23.1" customHeight="1" x14ac:dyDescent="0.3">
      <c r="A7" s="3" t="s">
        <v>46</v>
      </c>
      <c r="B7" s="9" t="s">
        <v>1</v>
      </c>
      <c r="C7" s="10">
        <v>480</v>
      </c>
      <c r="D7" s="10">
        <v>24</v>
      </c>
      <c r="E7" s="10">
        <v>5</v>
      </c>
      <c r="F7" s="10">
        <f t="shared" ref="F7:F34" si="2">+E7*D7*C7</f>
        <v>57600</v>
      </c>
      <c r="G7" s="89">
        <v>3</v>
      </c>
      <c r="H7" s="58">
        <v>0</v>
      </c>
      <c r="I7" s="58">
        <f t="shared" ref="I7:I34" si="3">+(G7*D7*C7)+(C7*H7)</f>
        <v>34560</v>
      </c>
      <c r="J7" s="11">
        <f t="shared" ref="J7:J34" si="4">+F7-I7</f>
        <v>23040</v>
      </c>
      <c r="K7" s="38"/>
      <c r="L7" s="38"/>
      <c r="M7" s="4"/>
      <c r="N7" s="95"/>
      <c r="O7" s="23" t="str">
        <f t="shared" si="0"/>
        <v>Coca cola ligth</v>
      </c>
      <c r="P7" s="24"/>
      <c r="Q7" s="25">
        <v>1000</v>
      </c>
      <c r="R7" s="32">
        <f t="shared" ref="R7:R31" si="5">+S7/C7*100</f>
        <v>108.33333333333333</v>
      </c>
      <c r="S7" s="26">
        <f t="shared" si="1"/>
        <v>520</v>
      </c>
    </row>
    <row r="8" spans="1:19" s="1" customFormat="1" ht="23.1" customHeight="1" x14ac:dyDescent="0.3">
      <c r="A8" s="3" t="s">
        <v>46</v>
      </c>
      <c r="B8" s="9" t="s">
        <v>2</v>
      </c>
      <c r="C8" s="10">
        <v>480</v>
      </c>
      <c r="D8" s="10">
        <v>24</v>
      </c>
      <c r="E8" s="10">
        <v>10</v>
      </c>
      <c r="F8" s="10">
        <f t="shared" si="2"/>
        <v>115200</v>
      </c>
      <c r="G8" s="89">
        <v>10</v>
      </c>
      <c r="H8" s="58">
        <v>0</v>
      </c>
      <c r="I8" s="58">
        <f t="shared" si="3"/>
        <v>115200</v>
      </c>
      <c r="J8" s="11">
        <f t="shared" si="4"/>
        <v>0</v>
      </c>
      <c r="K8" s="38">
        <f>+K6+K5</f>
        <v>887040</v>
      </c>
      <c r="L8" s="38"/>
      <c r="M8" s="4">
        <f>+M6+M5+M4</f>
        <v>3056100</v>
      </c>
      <c r="N8" s="95"/>
      <c r="O8" s="23" t="str">
        <f t="shared" si="0"/>
        <v>Fanta normal</v>
      </c>
      <c r="P8" s="24"/>
      <c r="Q8" s="25">
        <v>1000</v>
      </c>
      <c r="R8" s="32">
        <f t="shared" si="5"/>
        <v>108.33333333333333</v>
      </c>
      <c r="S8" s="26">
        <f t="shared" si="1"/>
        <v>520</v>
      </c>
    </row>
    <row r="9" spans="1:19" s="1" customFormat="1" ht="23.1" customHeight="1" x14ac:dyDescent="0.3">
      <c r="A9" s="3" t="s">
        <v>46</v>
      </c>
      <c r="B9" s="9" t="s">
        <v>3</v>
      </c>
      <c r="C9" s="10">
        <v>480</v>
      </c>
      <c r="D9" s="10">
        <v>24</v>
      </c>
      <c r="E9" s="10">
        <v>45</v>
      </c>
      <c r="F9" s="10">
        <f t="shared" si="2"/>
        <v>518400</v>
      </c>
      <c r="G9" s="89">
        <v>40</v>
      </c>
      <c r="H9" s="58">
        <v>0</v>
      </c>
      <c r="I9" s="58">
        <f t="shared" si="3"/>
        <v>460800</v>
      </c>
      <c r="J9" s="11">
        <f t="shared" si="4"/>
        <v>57600</v>
      </c>
      <c r="K9" s="38"/>
      <c r="L9" s="38"/>
      <c r="M9" s="4"/>
      <c r="N9" s="95"/>
      <c r="O9" s="23" t="str">
        <f t="shared" si="0"/>
        <v>Sprite normal</v>
      </c>
      <c r="P9" s="24"/>
      <c r="Q9" s="25">
        <v>1000</v>
      </c>
      <c r="R9" s="32">
        <f t="shared" si="5"/>
        <v>108.33333333333333</v>
      </c>
      <c r="S9" s="26">
        <f t="shared" si="1"/>
        <v>520</v>
      </c>
    </row>
    <row r="10" spans="1:19" s="1" customFormat="1" ht="23.1" customHeight="1" x14ac:dyDescent="0.3">
      <c r="A10" s="3" t="s">
        <v>46</v>
      </c>
      <c r="B10" s="9" t="s">
        <v>4</v>
      </c>
      <c r="C10" s="10">
        <v>480</v>
      </c>
      <c r="D10" s="10">
        <v>24</v>
      </c>
      <c r="E10" s="10">
        <v>5</v>
      </c>
      <c r="F10" s="10">
        <f t="shared" si="2"/>
        <v>57600</v>
      </c>
      <c r="G10" s="10">
        <v>0</v>
      </c>
      <c r="H10" s="58">
        <v>0</v>
      </c>
      <c r="I10" s="58">
        <f t="shared" si="3"/>
        <v>0</v>
      </c>
      <c r="J10" s="11">
        <f t="shared" si="4"/>
        <v>57600</v>
      </c>
      <c r="K10" s="38"/>
      <c r="L10" s="38"/>
      <c r="M10" s="4"/>
      <c r="N10" s="95"/>
      <c r="O10" s="23" t="str">
        <f t="shared" si="0"/>
        <v>Sprite light</v>
      </c>
      <c r="P10" s="24"/>
      <c r="Q10" s="25">
        <v>1000</v>
      </c>
      <c r="R10" s="32">
        <f t="shared" si="5"/>
        <v>108.33333333333333</v>
      </c>
      <c r="S10" s="26">
        <f t="shared" si="1"/>
        <v>520</v>
      </c>
    </row>
    <row r="11" spans="1:19" s="1" customFormat="1" ht="23.1" customHeight="1" x14ac:dyDescent="0.3">
      <c r="A11" s="3" t="s">
        <v>46</v>
      </c>
      <c r="B11" s="9" t="s">
        <v>20</v>
      </c>
      <c r="C11" s="10">
        <v>450</v>
      </c>
      <c r="D11" s="10">
        <v>12</v>
      </c>
      <c r="E11" s="10">
        <v>7</v>
      </c>
      <c r="F11" s="10">
        <f t="shared" si="2"/>
        <v>37800</v>
      </c>
      <c r="G11" s="89">
        <v>5</v>
      </c>
      <c r="H11" s="90">
        <v>5</v>
      </c>
      <c r="I11" s="58">
        <f t="shared" si="3"/>
        <v>29250</v>
      </c>
      <c r="J11" s="11">
        <f t="shared" si="4"/>
        <v>8550</v>
      </c>
      <c r="K11" s="38"/>
      <c r="L11" s="38"/>
      <c r="M11" s="4"/>
      <c r="N11" s="95"/>
      <c r="O11" s="23" t="str">
        <f t="shared" si="0"/>
        <v>Agua mineral 500cc</v>
      </c>
      <c r="P11" s="24"/>
      <c r="Q11" s="25">
        <v>1000</v>
      </c>
      <c r="R11" s="32">
        <f t="shared" si="5"/>
        <v>122.22222222222223</v>
      </c>
      <c r="S11" s="26">
        <f t="shared" si="1"/>
        <v>550</v>
      </c>
    </row>
    <row r="12" spans="1:19" s="1" customFormat="1" ht="23.1" customHeight="1" x14ac:dyDescent="0.3">
      <c r="A12" s="3" t="s">
        <v>46</v>
      </c>
      <c r="B12" s="9" t="s">
        <v>6</v>
      </c>
      <c r="C12" s="10">
        <v>480</v>
      </c>
      <c r="D12" s="10">
        <v>24</v>
      </c>
      <c r="E12" s="10">
        <v>30</v>
      </c>
      <c r="F12" s="10">
        <f t="shared" si="2"/>
        <v>345600</v>
      </c>
      <c r="G12" s="10">
        <v>0</v>
      </c>
      <c r="H12" s="58">
        <v>0</v>
      </c>
      <c r="I12" s="58">
        <f t="shared" si="3"/>
        <v>0</v>
      </c>
      <c r="J12" s="11">
        <f t="shared" si="4"/>
        <v>345600</v>
      </c>
      <c r="K12" s="38"/>
      <c r="L12" s="38"/>
      <c r="M12" s="4"/>
      <c r="N12" s="95"/>
      <c r="O12" s="23" t="str">
        <f t="shared" si="0"/>
        <v>Cervez Cristal</v>
      </c>
      <c r="P12" s="24"/>
      <c r="Q12" s="25">
        <v>1000</v>
      </c>
      <c r="R12" s="32">
        <f t="shared" si="5"/>
        <v>108.33333333333333</v>
      </c>
      <c r="S12" s="26">
        <f t="shared" si="1"/>
        <v>520</v>
      </c>
    </row>
    <row r="13" spans="1:19" s="1" customFormat="1" ht="23.1" customHeight="1" x14ac:dyDescent="0.3">
      <c r="A13" s="3" t="s">
        <v>46</v>
      </c>
      <c r="B13" s="9" t="s">
        <v>7</v>
      </c>
      <c r="C13" s="10">
        <v>480</v>
      </c>
      <c r="D13" s="10">
        <v>24</v>
      </c>
      <c r="E13" s="10">
        <v>30</v>
      </c>
      <c r="F13" s="10">
        <f t="shared" si="2"/>
        <v>345600</v>
      </c>
      <c r="G13" s="10">
        <v>0</v>
      </c>
      <c r="H13" s="58">
        <v>0</v>
      </c>
      <c r="I13" s="58">
        <f t="shared" si="3"/>
        <v>0</v>
      </c>
      <c r="J13" s="11">
        <f t="shared" si="4"/>
        <v>345600</v>
      </c>
      <c r="K13" s="38"/>
      <c r="L13" s="38"/>
      <c r="M13" s="4"/>
      <c r="N13" s="95"/>
      <c r="O13" s="23" t="str">
        <f t="shared" si="0"/>
        <v>Cerveza Escudo</v>
      </c>
      <c r="P13" s="24"/>
      <c r="Q13" s="25">
        <v>1000</v>
      </c>
      <c r="R13" s="32">
        <f t="shared" si="5"/>
        <v>108.33333333333333</v>
      </c>
      <c r="S13" s="26">
        <f t="shared" si="1"/>
        <v>520</v>
      </c>
    </row>
    <row r="14" spans="1:19" s="1" customFormat="1" ht="23.1" customHeight="1" x14ac:dyDescent="0.3">
      <c r="A14" s="3" t="s">
        <v>46</v>
      </c>
      <c r="B14" s="9" t="s">
        <v>8</v>
      </c>
      <c r="C14" s="10">
        <v>750</v>
      </c>
      <c r="D14" s="10">
        <v>24</v>
      </c>
      <c r="E14" s="10">
        <v>40</v>
      </c>
      <c r="F14" s="10">
        <f t="shared" si="2"/>
        <v>720000</v>
      </c>
      <c r="G14" s="89">
        <v>15</v>
      </c>
      <c r="H14" s="90">
        <v>5</v>
      </c>
      <c r="I14" s="58">
        <f t="shared" si="3"/>
        <v>273750</v>
      </c>
      <c r="J14" s="11">
        <f t="shared" si="4"/>
        <v>446250</v>
      </c>
      <c r="K14" s="38"/>
      <c r="L14" s="38"/>
      <c r="M14" s="4"/>
      <c r="N14" s="95"/>
      <c r="O14" s="23" t="str">
        <f t="shared" si="0"/>
        <v>Cerveza Corona</v>
      </c>
      <c r="P14" s="24"/>
      <c r="Q14" s="25">
        <v>1500</v>
      </c>
      <c r="R14" s="32">
        <f t="shared" si="5"/>
        <v>100</v>
      </c>
      <c r="S14" s="26">
        <f t="shared" si="1"/>
        <v>750</v>
      </c>
    </row>
    <row r="15" spans="1:19" s="1" customFormat="1" ht="23.1" customHeight="1" x14ac:dyDescent="0.3">
      <c r="A15" s="3" t="s">
        <v>46</v>
      </c>
      <c r="B15" s="9" t="s">
        <v>9</v>
      </c>
      <c r="C15" s="10">
        <v>1100</v>
      </c>
      <c r="D15" s="10">
        <v>24</v>
      </c>
      <c r="E15" s="10">
        <f>2+3</f>
        <v>5</v>
      </c>
      <c r="F15" s="10">
        <f t="shared" si="2"/>
        <v>132000</v>
      </c>
      <c r="G15" s="89">
        <v>1</v>
      </c>
      <c r="H15" s="90">
        <v>20</v>
      </c>
      <c r="I15" s="58">
        <f t="shared" si="3"/>
        <v>48400</v>
      </c>
      <c r="J15" s="11">
        <f t="shared" si="4"/>
        <v>83600</v>
      </c>
      <c r="K15" s="38"/>
      <c r="L15" s="38"/>
      <c r="M15" s="4"/>
      <c r="N15" s="95"/>
      <c r="O15" s="23" t="str">
        <f t="shared" si="0"/>
        <v>Red Bull</v>
      </c>
      <c r="P15" s="24"/>
      <c r="Q15" s="25">
        <v>2000</v>
      </c>
      <c r="R15" s="32">
        <f t="shared" si="5"/>
        <v>81.818181818181827</v>
      </c>
      <c r="S15" s="26">
        <f t="shared" si="1"/>
        <v>900</v>
      </c>
    </row>
    <row r="16" spans="1:19" s="1" customFormat="1" ht="23.1" customHeight="1" x14ac:dyDescent="0.3">
      <c r="A16" s="3" t="s">
        <v>46</v>
      </c>
      <c r="B16" s="9" t="s">
        <v>10</v>
      </c>
      <c r="C16" s="10">
        <v>1000</v>
      </c>
      <c r="D16" s="10">
        <v>24</v>
      </c>
      <c r="E16" s="10">
        <v>4</v>
      </c>
      <c r="F16" s="10">
        <f t="shared" si="2"/>
        <v>96000</v>
      </c>
      <c r="G16" s="10">
        <v>0</v>
      </c>
      <c r="H16" s="58">
        <v>0</v>
      </c>
      <c r="I16" s="58">
        <f t="shared" si="3"/>
        <v>0</v>
      </c>
      <c r="J16" s="11">
        <f t="shared" si="4"/>
        <v>96000</v>
      </c>
      <c r="K16" s="38"/>
      <c r="L16" s="38"/>
      <c r="M16" s="4"/>
      <c r="N16" s="95"/>
      <c r="O16" s="23" t="str">
        <f t="shared" si="0"/>
        <v>Mojito normal</v>
      </c>
      <c r="P16" s="24"/>
      <c r="Q16" s="25">
        <v>2000</v>
      </c>
      <c r="R16" s="32">
        <f t="shared" si="5"/>
        <v>100</v>
      </c>
      <c r="S16" s="26">
        <f t="shared" si="1"/>
        <v>1000</v>
      </c>
    </row>
    <row r="17" spans="1:19" s="1" customFormat="1" ht="23.1" customHeight="1" x14ac:dyDescent="0.3">
      <c r="A17" s="3" t="s">
        <v>46</v>
      </c>
      <c r="B17" s="9" t="s">
        <v>11</v>
      </c>
      <c r="C17" s="10">
        <v>4500</v>
      </c>
      <c r="D17" s="10">
        <v>12</v>
      </c>
      <c r="E17" s="10">
        <v>10</v>
      </c>
      <c r="F17" s="10">
        <f t="shared" si="2"/>
        <v>540000</v>
      </c>
      <c r="G17" s="89">
        <v>6</v>
      </c>
      <c r="H17" s="90">
        <v>2</v>
      </c>
      <c r="I17" s="58">
        <f t="shared" si="3"/>
        <v>333000</v>
      </c>
      <c r="J17" s="11">
        <f t="shared" si="4"/>
        <v>207000</v>
      </c>
      <c r="K17" s="38"/>
      <c r="L17" s="38"/>
      <c r="M17" s="4"/>
      <c r="N17" s="95"/>
      <c r="O17" s="23" t="str">
        <f t="shared" si="0"/>
        <v>Pisco Mistral</v>
      </c>
      <c r="P17" s="24" t="s">
        <v>68</v>
      </c>
      <c r="Q17" s="25">
        <v>11000</v>
      </c>
      <c r="R17" s="32">
        <f t="shared" si="5"/>
        <v>144.44444444444443</v>
      </c>
      <c r="S17" s="26">
        <f t="shared" si="1"/>
        <v>6500</v>
      </c>
    </row>
    <row r="18" spans="1:19" s="1" customFormat="1" ht="23.1" customHeight="1" x14ac:dyDescent="0.3">
      <c r="A18" s="3" t="s">
        <v>46</v>
      </c>
      <c r="B18" s="9" t="s">
        <v>12</v>
      </c>
      <c r="C18" s="10">
        <v>4500</v>
      </c>
      <c r="D18" s="10">
        <v>12</v>
      </c>
      <c r="E18" s="10">
        <v>5</v>
      </c>
      <c r="F18" s="10">
        <f t="shared" si="2"/>
        <v>270000</v>
      </c>
      <c r="G18" s="89">
        <v>3</v>
      </c>
      <c r="H18" s="90">
        <v>0</v>
      </c>
      <c r="I18" s="58">
        <f t="shared" si="3"/>
        <v>162000</v>
      </c>
      <c r="J18" s="11">
        <f t="shared" si="4"/>
        <v>108000</v>
      </c>
      <c r="K18" s="38"/>
      <c r="L18" s="38"/>
      <c r="M18" s="4"/>
      <c r="N18" s="95"/>
      <c r="O18" s="23" t="str">
        <f t="shared" si="0"/>
        <v>Pisco Alto del Carmen</v>
      </c>
      <c r="P18" s="24" t="s">
        <v>68</v>
      </c>
      <c r="Q18" s="25">
        <v>11000</v>
      </c>
      <c r="R18" s="32">
        <f t="shared" si="5"/>
        <v>144.44444444444443</v>
      </c>
      <c r="S18" s="26">
        <f t="shared" si="1"/>
        <v>6500</v>
      </c>
    </row>
    <row r="19" spans="1:19" s="1" customFormat="1" ht="23.1" customHeight="1" x14ac:dyDescent="0.3">
      <c r="A19" s="3" t="s">
        <v>46</v>
      </c>
      <c r="B19" s="9" t="s">
        <v>13</v>
      </c>
      <c r="C19" s="10">
        <v>5500</v>
      </c>
      <c r="D19" s="10">
        <v>12</v>
      </c>
      <c r="E19" s="10">
        <v>2</v>
      </c>
      <c r="F19" s="10">
        <f t="shared" si="2"/>
        <v>132000</v>
      </c>
      <c r="G19" s="89">
        <v>1</v>
      </c>
      <c r="H19" s="90">
        <v>3</v>
      </c>
      <c r="I19" s="58">
        <f t="shared" si="3"/>
        <v>82500</v>
      </c>
      <c r="J19" s="11">
        <f t="shared" si="4"/>
        <v>49500</v>
      </c>
      <c r="K19" s="38"/>
      <c r="L19" s="38"/>
      <c r="M19" s="4"/>
      <c r="N19" s="95"/>
      <c r="O19" s="23" t="str">
        <f t="shared" si="0"/>
        <v>Ron Barceló</v>
      </c>
      <c r="P19" s="24" t="s">
        <v>68</v>
      </c>
      <c r="Q19" s="25">
        <v>13000</v>
      </c>
      <c r="R19" s="32">
        <f t="shared" si="5"/>
        <v>136.36363636363635</v>
      </c>
      <c r="S19" s="26">
        <f t="shared" si="1"/>
        <v>7500</v>
      </c>
    </row>
    <row r="20" spans="1:19" s="1" customFormat="1" ht="23.1" customHeight="1" x14ac:dyDescent="0.3">
      <c r="A20" s="3" t="s">
        <v>46</v>
      </c>
      <c r="B20" s="9" t="s">
        <v>14</v>
      </c>
      <c r="C20" s="10">
        <v>6000</v>
      </c>
      <c r="D20" s="10">
        <v>12</v>
      </c>
      <c r="E20" s="10">
        <v>5</v>
      </c>
      <c r="F20" s="10">
        <f t="shared" si="2"/>
        <v>360000</v>
      </c>
      <c r="G20" s="89">
        <v>2</v>
      </c>
      <c r="H20" s="90">
        <v>1</v>
      </c>
      <c r="I20" s="58">
        <f t="shared" si="3"/>
        <v>150000</v>
      </c>
      <c r="J20" s="11">
        <f t="shared" si="4"/>
        <v>210000</v>
      </c>
      <c r="K20" s="38"/>
      <c r="L20" s="38"/>
      <c r="M20" s="4"/>
      <c r="N20" s="95"/>
      <c r="O20" s="23" t="str">
        <f t="shared" si="0"/>
        <v>Whisky Sandy</v>
      </c>
      <c r="P20" s="24" t="s">
        <v>68</v>
      </c>
      <c r="Q20" s="25">
        <v>14000</v>
      </c>
      <c r="R20" s="32">
        <f t="shared" si="5"/>
        <v>133.33333333333331</v>
      </c>
      <c r="S20" s="26">
        <f t="shared" si="1"/>
        <v>8000</v>
      </c>
    </row>
    <row r="21" spans="1:19" s="1" customFormat="1" ht="23.1" customHeight="1" x14ac:dyDescent="0.3">
      <c r="A21" s="3" t="s">
        <v>46</v>
      </c>
      <c r="B21" s="9" t="s">
        <v>15</v>
      </c>
      <c r="C21" s="10">
        <v>9000</v>
      </c>
      <c r="D21" s="10">
        <v>12</v>
      </c>
      <c r="E21" s="10">
        <v>5</v>
      </c>
      <c r="F21" s="10">
        <f t="shared" si="2"/>
        <v>540000</v>
      </c>
      <c r="G21" s="89">
        <v>2</v>
      </c>
      <c r="H21" s="90">
        <v>9</v>
      </c>
      <c r="I21" s="58">
        <f t="shared" si="3"/>
        <v>297000</v>
      </c>
      <c r="J21" s="11">
        <f t="shared" si="4"/>
        <v>243000</v>
      </c>
      <c r="K21" s="38"/>
      <c r="L21" s="38"/>
      <c r="M21" s="4"/>
      <c r="N21" s="95"/>
      <c r="O21" s="23" t="str">
        <f t="shared" si="0"/>
        <v>Whisky Jonnie</v>
      </c>
      <c r="P21" s="24" t="s">
        <v>68</v>
      </c>
      <c r="Q21" s="25">
        <v>20000</v>
      </c>
      <c r="R21" s="32">
        <f t="shared" si="5"/>
        <v>122.22222222222223</v>
      </c>
      <c r="S21" s="26">
        <f t="shared" si="1"/>
        <v>11000</v>
      </c>
    </row>
    <row r="22" spans="1:19" s="1" customFormat="1" ht="23.1" customHeight="1" x14ac:dyDescent="0.3">
      <c r="A22" s="3" t="s">
        <v>46</v>
      </c>
      <c r="B22" s="9" t="s">
        <v>16</v>
      </c>
      <c r="C22" s="10">
        <v>8000</v>
      </c>
      <c r="D22" s="10">
        <v>12</v>
      </c>
      <c r="E22" s="10">
        <v>5</v>
      </c>
      <c r="F22" s="10">
        <f t="shared" si="2"/>
        <v>480000</v>
      </c>
      <c r="G22" s="89">
        <v>3</v>
      </c>
      <c r="H22" s="90">
        <v>9</v>
      </c>
      <c r="I22" s="58">
        <f t="shared" si="3"/>
        <v>360000</v>
      </c>
      <c r="J22" s="11">
        <f t="shared" si="4"/>
        <v>120000</v>
      </c>
      <c r="K22" s="38"/>
      <c r="L22" s="38"/>
      <c r="M22" s="4"/>
      <c r="N22" s="95"/>
      <c r="O22" s="23" t="str">
        <f t="shared" si="0"/>
        <v>Whisky Ballantines</v>
      </c>
      <c r="P22" s="24" t="s">
        <v>68</v>
      </c>
      <c r="Q22" s="25">
        <v>18000</v>
      </c>
      <c r="R22" s="32">
        <f t="shared" si="5"/>
        <v>125</v>
      </c>
      <c r="S22" s="26">
        <f t="shared" si="1"/>
        <v>10000</v>
      </c>
    </row>
    <row r="23" spans="1:19" s="1" customFormat="1" ht="23.1" customHeight="1" x14ac:dyDescent="0.3">
      <c r="A23" s="3" t="s">
        <v>46</v>
      </c>
      <c r="B23" s="9" t="s">
        <v>17</v>
      </c>
      <c r="C23" s="10">
        <v>600</v>
      </c>
      <c r="D23" s="10">
        <v>24</v>
      </c>
      <c r="E23" s="10">
        <v>15</v>
      </c>
      <c r="F23" s="10">
        <f t="shared" si="2"/>
        <v>216000</v>
      </c>
      <c r="G23" s="89">
        <v>0</v>
      </c>
      <c r="H23" s="90">
        <v>13</v>
      </c>
      <c r="I23" s="58">
        <f t="shared" si="3"/>
        <v>7800</v>
      </c>
      <c r="J23" s="11">
        <f t="shared" si="4"/>
        <v>208200</v>
      </c>
      <c r="K23" s="38"/>
      <c r="L23" s="38"/>
      <c r="M23" s="4"/>
      <c r="N23" s="95"/>
      <c r="O23" s="23" t="str">
        <f t="shared" si="0"/>
        <v>Manquehuito</v>
      </c>
      <c r="P23" s="24"/>
      <c r="Q23" s="25">
        <v>1000</v>
      </c>
      <c r="R23" s="32">
        <f t="shared" si="5"/>
        <v>66.666666666666657</v>
      </c>
      <c r="S23" s="26">
        <f t="shared" si="1"/>
        <v>400</v>
      </c>
    </row>
    <row r="24" spans="1:19" s="1" customFormat="1" ht="23.1" customHeight="1" x14ac:dyDescent="0.3">
      <c r="A24" s="3" t="s">
        <v>46</v>
      </c>
      <c r="B24" s="9" t="s">
        <v>18</v>
      </c>
      <c r="C24" s="10">
        <v>3000</v>
      </c>
      <c r="D24" s="10">
        <v>12</v>
      </c>
      <c r="E24" s="10">
        <v>1</v>
      </c>
      <c r="F24" s="10">
        <f t="shared" si="2"/>
        <v>36000</v>
      </c>
      <c r="G24" s="89">
        <v>1</v>
      </c>
      <c r="H24" s="90">
        <v>0</v>
      </c>
      <c r="I24" s="58">
        <f t="shared" si="3"/>
        <v>36000</v>
      </c>
      <c r="J24" s="11">
        <f t="shared" si="4"/>
        <v>0</v>
      </c>
      <c r="K24" s="38"/>
      <c r="L24" s="38"/>
      <c r="M24" s="4"/>
      <c r="N24" s="95"/>
      <c r="O24" s="23" t="str">
        <f t="shared" si="0"/>
        <v>Mango Sour</v>
      </c>
      <c r="P24" s="24"/>
      <c r="Q24" s="25">
        <v>5000</v>
      </c>
      <c r="R24" s="32">
        <f t="shared" si="5"/>
        <v>66.666666666666657</v>
      </c>
      <c r="S24" s="26">
        <f t="shared" si="1"/>
        <v>2000</v>
      </c>
    </row>
    <row r="25" spans="1:19" s="1" customFormat="1" ht="23.1" customHeight="1" x14ac:dyDescent="0.3">
      <c r="A25" s="3" t="s">
        <v>46</v>
      </c>
      <c r="B25" s="9" t="s">
        <v>19</v>
      </c>
      <c r="C25" s="10">
        <v>3000</v>
      </c>
      <c r="D25" s="10">
        <v>12</v>
      </c>
      <c r="E25" s="10">
        <v>1</v>
      </c>
      <c r="F25" s="10">
        <f t="shared" si="2"/>
        <v>36000</v>
      </c>
      <c r="G25" s="89">
        <v>0</v>
      </c>
      <c r="H25" s="90">
        <v>2</v>
      </c>
      <c r="I25" s="58">
        <f t="shared" si="3"/>
        <v>6000</v>
      </c>
      <c r="J25" s="11">
        <f t="shared" si="4"/>
        <v>30000</v>
      </c>
      <c r="K25" s="38"/>
      <c r="L25" s="38"/>
      <c r="M25" s="4"/>
      <c r="N25" s="95"/>
      <c r="O25" s="23" t="str">
        <f t="shared" si="0"/>
        <v>Pisco Sour</v>
      </c>
      <c r="P25" s="24"/>
      <c r="Q25" s="25">
        <v>5000</v>
      </c>
      <c r="R25" s="32">
        <f t="shared" si="5"/>
        <v>66.666666666666657</v>
      </c>
      <c r="S25" s="26">
        <f t="shared" si="1"/>
        <v>2000</v>
      </c>
    </row>
    <row r="26" spans="1:19" s="1" customFormat="1" ht="23.1" customHeight="1" x14ac:dyDescent="0.3">
      <c r="A26" s="3" t="s">
        <v>46</v>
      </c>
      <c r="B26" s="9" t="s">
        <v>21</v>
      </c>
      <c r="C26" s="10">
        <v>3500</v>
      </c>
      <c r="D26" s="10">
        <v>10</v>
      </c>
      <c r="E26" s="10">
        <v>4</v>
      </c>
      <c r="F26" s="10">
        <f t="shared" si="2"/>
        <v>140000</v>
      </c>
      <c r="G26" s="89">
        <v>3</v>
      </c>
      <c r="H26" s="90">
        <v>0</v>
      </c>
      <c r="I26" s="58">
        <f t="shared" si="3"/>
        <v>105000</v>
      </c>
      <c r="J26" s="11">
        <f t="shared" si="4"/>
        <v>35000</v>
      </c>
      <c r="K26" s="38"/>
      <c r="L26" s="38"/>
      <c r="M26" s="4"/>
      <c r="N26" s="95"/>
      <c r="O26" s="23" t="str">
        <f t="shared" si="0"/>
        <v>Lucky Strike</v>
      </c>
      <c r="P26" s="24"/>
      <c r="Q26" s="25">
        <v>4000</v>
      </c>
      <c r="R26" s="32">
        <f t="shared" si="5"/>
        <v>14.285714285714285</v>
      </c>
      <c r="S26" s="26">
        <f t="shared" si="1"/>
        <v>500</v>
      </c>
    </row>
    <row r="27" spans="1:19" s="1" customFormat="1" ht="23.1" customHeight="1" x14ac:dyDescent="0.3">
      <c r="A27" s="3" t="s">
        <v>46</v>
      </c>
      <c r="B27" s="9" t="s">
        <v>22</v>
      </c>
      <c r="C27" s="10">
        <v>3100</v>
      </c>
      <c r="D27" s="10">
        <v>10</v>
      </c>
      <c r="E27" s="10">
        <v>4</v>
      </c>
      <c r="F27" s="10">
        <f t="shared" si="2"/>
        <v>124000</v>
      </c>
      <c r="G27" s="89">
        <v>3</v>
      </c>
      <c r="H27" s="90">
        <v>8</v>
      </c>
      <c r="I27" s="58">
        <f t="shared" si="3"/>
        <v>117800</v>
      </c>
      <c r="J27" s="11">
        <f t="shared" si="4"/>
        <v>6200</v>
      </c>
      <c r="K27" s="38"/>
      <c r="L27" s="38"/>
      <c r="M27" s="4"/>
      <c r="N27" s="95"/>
      <c r="O27" s="23" t="str">
        <f t="shared" si="0"/>
        <v>Ken Azul</v>
      </c>
      <c r="P27" s="24"/>
      <c r="Q27" s="25">
        <v>3500</v>
      </c>
      <c r="R27" s="32">
        <f t="shared" si="5"/>
        <v>12.903225806451612</v>
      </c>
      <c r="S27" s="26">
        <f t="shared" si="1"/>
        <v>400</v>
      </c>
    </row>
    <row r="28" spans="1:19" s="1" customFormat="1" ht="23.1" customHeight="1" x14ac:dyDescent="0.3">
      <c r="A28" s="3" t="s">
        <v>46</v>
      </c>
      <c r="B28" s="9" t="s">
        <v>23</v>
      </c>
      <c r="C28" s="10">
        <v>3400</v>
      </c>
      <c r="D28" s="10">
        <v>10</v>
      </c>
      <c r="E28" s="10">
        <v>2</v>
      </c>
      <c r="F28" s="10">
        <f t="shared" si="2"/>
        <v>68000</v>
      </c>
      <c r="G28" s="89">
        <v>1</v>
      </c>
      <c r="H28" s="90">
        <v>4</v>
      </c>
      <c r="I28" s="58">
        <f t="shared" si="3"/>
        <v>47600</v>
      </c>
      <c r="J28" s="11">
        <f t="shared" si="4"/>
        <v>20400</v>
      </c>
      <c r="K28" s="38"/>
      <c r="L28" s="38"/>
      <c r="M28" s="4"/>
      <c r="N28" s="95"/>
      <c r="O28" s="23" t="str">
        <f t="shared" si="0"/>
        <v>Ken negro</v>
      </c>
      <c r="P28" s="24"/>
      <c r="Q28" s="25">
        <v>4000</v>
      </c>
      <c r="R28" s="32">
        <f t="shared" si="5"/>
        <v>17.647058823529413</v>
      </c>
      <c r="S28" s="26">
        <f t="shared" si="1"/>
        <v>600</v>
      </c>
    </row>
    <row r="29" spans="1:19" s="1" customFormat="1" ht="23.1" customHeight="1" x14ac:dyDescent="0.3">
      <c r="A29" s="3" t="s">
        <v>46</v>
      </c>
      <c r="B29" s="9" t="s">
        <v>24</v>
      </c>
      <c r="C29" s="10">
        <v>2600</v>
      </c>
      <c r="D29" s="10">
        <v>10</v>
      </c>
      <c r="E29" s="10">
        <v>5</v>
      </c>
      <c r="F29" s="10">
        <f t="shared" si="2"/>
        <v>130000</v>
      </c>
      <c r="G29" s="89">
        <v>3</v>
      </c>
      <c r="H29" s="90">
        <v>5</v>
      </c>
      <c r="I29" s="58">
        <f t="shared" si="3"/>
        <v>91000</v>
      </c>
      <c r="J29" s="11">
        <f t="shared" si="4"/>
        <v>39000</v>
      </c>
      <c r="K29" s="38"/>
      <c r="L29" s="38"/>
      <c r="M29" s="4"/>
      <c r="N29" s="95"/>
      <c r="O29" s="23" t="str">
        <f t="shared" si="0"/>
        <v>Pall mall rojo azul</v>
      </c>
      <c r="P29" s="24"/>
      <c r="Q29" s="25">
        <v>3500</v>
      </c>
      <c r="R29" s="32">
        <f t="shared" si="5"/>
        <v>34.615384615384613</v>
      </c>
      <c r="S29" s="26">
        <f t="shared" si="1"/>
        <v>900</v>
      </c>
    </row>
    <row r="30" spans="1:19" s="1" customFormat="1" ht="23.1" customHeight="1" x14ac:dyDescent="0.3">
      <c r="A30" s="3" t="s">
        <v>46</v>
      </c>
      <c r="B30" s="9" t="s">
        <v>25</v>
      </c>
      <c r="C30" s="10">
        <v>2900</v>
      </c>
      <c r="D30" s="10">
        <v>10</v>
      </c>
      <c r="E30" s="10">
        <v>4</v>
      </c>
      <c r="F30" s="10">
        <f t="shared" si="2"/>
        <v>116000</v>
      </c>
      <c r="G30" s="89">
        <v>2</v>
      </c>
      <c r="H30" s="90">
        <v>3</v>
      </c>
      <c r="I30" s="58">
        <f t="shared" si="3"/>
        <v>66700</v>
      </c>
      <c r="J30" s="11">
        <f t="shared" si="4"/>
        <v>49300</v>
      </c>
      <c r="K30" s="38"/>
      <c r="L30" s="38"/>
      <c r="M30" s="4"/>
      <c r="N30" s="95"/>
      <c r="O30" s="23" t="str">
        <f t="shared" si="0"/>
        <v>Pall verde click</v>
      </c>
      <c r="P30" s="24"/>
      <c r="Q30" s="25">
        <v>3500</v>
      </c>
      <c r="R30" s="32">
        <f t="shared" si="5"/>
        <v>20.689655172413794</v>
      </c>
      <c r="S30" s="26">
        <f t="shared" si="1"/>
        <v>600</v>
      </c>
    </row>
    <row r="31" spans="1:19" ht="23.1" customHeight="1" x14ac:dyDescent="0.25">
      <c r="A31" s="3" t="s">
        <v>46</v>
      </c>
      <c r="B31" s="9" t="s">
        <v>29</v>
      </c>
      <c r="C31" s="10">
        <v>2800</v>
      </c>
      <c r="D31" s="10">
        <v>24</v>
      </c>
      <c r="E31" s="10">
        <v>2</v>
      </c>
      <c r="F31" s="10">
        <f t="shared" si="2"/>
        <v>134400</v>
      </c>
      <c r="G31" s="91">
        <v>1</v>
      </c>
      <c r="H31" s="92">
        <v>6</v>
      </c>
      <c r="I31" s="58">
        <f t="shared" si="3"/>
        <v>84000</v>
      </c>
      <c r="J31" s="11">
        <f t="shared" si="4"/>
        <v>50400</v>
      </c>
      <c r="K31" s="38"/>
      <c r="L31" s="38"/>
      <c r="M31" s="2"/>
      <c r="O31" s="23" t="str">
        <f t="shared" si="0"/>
        <v>Late Harvest</v>
      </c>
      <c r="P31" s="24"/>
      <c r="Q31" s="25">
        <v>3500</v>
      </c>
      <c r="R31" s="32">
        <f t="shared" si="5"/>
        <v>25</v>
      </c>
      <c r="S31" s="26">
        <f t="shared" si="1"/>
        <v>700</v>
      </c>
    </row>
    <row r="32" spans="1:19" ht="23.1" customHeight="1" x14ac:dyDescent="0.25">
      <c r="B32" s="72" t="s">
        <v>30</v>
      </c>
      <c r="C32" s="73">
        <v>1700</v>
      </c>
      <c r="D32" s="73">
        <v>12</v>
      </c>
      <c r="E32" s="10">
        <f>5+3</f>
        <v>8</v>
      </c>
      <c r="F32" s="10">
        <f t="shared" si="2"/>
        <v>163200</v>
      </c>
      <c r="G32" s="91">
        <v>1</v>
      </c>
      <c r="H32" s="92">
        <v>11</v>
      </c>
      <c r="I32" s="58">
        <f t="shared" si="3"/>
        <v>39100</v>
      </c>
      <c r="J32" s="11">
        <f t="shared" si="4"/>
        <v>124100</v>
      </c>
      <c r="K32" s="38"/>
      <c r="L32" s="38"/>
      <c r="M32" s="2"/>
      <c r="O32" s="23" t="str">
        <f t="shared" si="0"/>
        <v>Vino Santa Emiliana</v>
      </c>
      <c r="P32" s="75"/>
      <c r="Q32" s="76"/>
      <c r="R32" s="77"/>
      <c r="S32" s="78"/>
    </row>
    <row r="33" spans="1:19" ht="23.1" customHeight="1" x14ac:dyDescent="0.25">
      <c r="B33" s="72" t="s">
        <v>97</v>
      </c>
      <c r="C33" s="73">
        <v>480</v>
      </c>
      <c r="D33" s="73">
        <v>24</v>
      </c>
      <c r="E33" s="10">
        <v>2</v>
      </c>
      <c r="F33" s="10">
        <f t="shared" si="2"/>
        <v>23040</v>
      </c>
      <c r="G33" s="12">
        <v>0</v>
      </c>
      <c r="H33" s="59">
        <v>0</v>
      </c>
      <c r="I33" s="58">
        <f t="shared" si="3"/>
        <v>0</v>
      </c>
      <c r="J33" s="11">
        <f t="shared" si="4"/>
        <v>23040</v>
      </c>
      <c r="K33" s="38"/>
      <c r="L33" s="38"/>
      <c r="M33" s="2"/>
      <c r="O33" s="74" t="str">
        <f t="shared" si="0"/>
        <v>Caja undividual</v>
      </c>
      <c r="P33" s="75"/>
      <c r="Q33" s="76"/>
      <c r="R33" s="77"/>
      <c r="S33" s="78"/>
    </row>
    <row r="34" spans="1:19" ht="23.1" customHeight="1" thickBot="1" x14ac:dyDescent="0.3">
      <c r="A34" s="3" t="s">
        <v>46</v>
      </c>
      <c r="B34" s="13" t="s">
        <v>96</v>
      </c>
      <c r="C34" s="14">
        <v>480</v>
      </c>
      <c r="D34" s="14">
        <v>24</v>
      </c>
      <c r="E34" s="10">
        <f>2+2</f>
        <v>4</v>
      </c>
      <c r="F34" s="10">
        <f t="shared" si="2"/>
        <v>46080</v>
      </c>
      <c r="G34" s="93">
        <v>3</v>
      </c>
      <c r="H34" s="94">
        <v>0</v>
      </c>
      <c r="I34" s="58">
        <f t="shared" si="3"/>
        <v>34560</v>
      </c>
      <c r="J34" s="11">
        <f t="shared" si="4"/>
        <v>11520</v>
      </c>
      <c r="K34" s="38"/>
      <c r="L34" s="38"/>
      <c r="M34" s="2"/>
      <c r="O34" s="27" t="str">
        <f t="shared" si="0"/>
        <v>Cerveza sin alcohol</v>
      </c>
      <c r="P34" s="28"/>
      <c r="Q34" s="29">
        <v>3500</v>
      </c>
      <c r="R34" s="33">
        <f>+S34/C34*100</f>
        <v>629.16666666666674</v>
      </c>
      <c r="S34" s="30">
        <f t="shared" si="1"/>
        <v>3020</v>
      </c>
    </row>
    <row r="35" spans="1:19" x14ac:dyDescent="0.25">
      <c r="A35" s="3" t="s">
        <v>46</v>
      </c>
      <c r="R35" s="34" t="s">
        <v>46</v>
      </c>
    </row>
    <row r="36" spans="1:19" x14ac:dyDescent="0.25">
      <c r="A36" s="3" t="s">
        <v>46</v>
      </c>
    </row>
    <row r="38" spans="1:19" ht="15.75" thickBot="1" x14ac:dyDescent="0.3">
      <c r="J38" s="347" t="s">
        <v>137</v>
      </c>
      <c r="K38" s="347"/>
    </row>
    <row r="39" spans="1:19" x14ac:dyDescent="0.25">
      <c r="B39" s="375" t="s">
        <v>98</v>
      </c>
      <c r="C39" s="367"/>
      <c r="D39" s="367"/>
      <c r="E39" s="367"/>
      <c r="F39" s="112">
        <v>138910</v>
      </c>
      <c r="J39" s="119">
        <v>10000</v>
      </c>
      <c r="K39" s="120">
        <v>1000000</v>
      </c>
      <c r="L39" s="71"/>
      <c r="M39" t="s">
        <v>46</v>
      </c>
    </row>
    <row r="40" spans="1:19" x14ac:dyDescent="0.25">
      <c r="B40" s="363" t="s">
        <v>99</v>
      </c>
      <c r="C40" s="364"/>
      <c r="D40" s="364"/>
      <c r="E40" s="364"/>
      <c r="F40" s="113">
        <v>35980</v>
      </c>
      <c r="J40" s="121">
        <v>1000</v>
      </c>
      <c r="K40" s="122">
        <v>300000</v>
      </c>
      <c r="L40" s="71"/>
      <c r="M40" t="s">
        <v>46</v>
      </c>
    </row>
    <row r="41" spans="1:19" x14ac:dyDescent="0.25">
      <c r="B41" s="363" t="s">
        <v>100</v>
      </c>
      <c r="C41" s="364"/>
      <c r="D41" s="364"/>
      <c r="E41" s="364"/>
      <c r="F41" s="113">
        <v>40000</v>
      </c>
      <c r="J41" s="121">
        <v>10000</v>
      </c>
      <c r="K41" s="122">
        <v>500000</v>
      </c>
      <c r="L41" s="71"/>
      <c r="M41" t="s">
        <v>46</v>
      </c>
      <c r="Q41" s="4">
        <v>10000</v>
      </c>
      <c r="R41" s="111">
        <v>1000000</v>
      </c>
    </row>
    <row r="42" spans="1:19" x14ac:dyDescent="0.25">
      <c r="B42" s="363" t="s">
        <v>101</v>
      </c>
      <c r="C42" s="364"/>
      <c r="D42" s="364"/>
      <c r="E42" s="364"/>
      <c r="F42" s="113">
        <v>6000</v>
      </c>
      <c r="J42" s="121">
        <v>100</v>
      </c>
      <c r="K42" s="122">
        <v>53700</v>
      </c>
      <c r="L42" s="71"/>
      <c r="M42" t="s">
        <v>46</v>
      </c>
      <c r="Q42" s="4">
        <v>1000</v>
      </c>
      <c r="R42" s="111">
        <v>300000</v>
      </c>
    </row>
    <row r="43" spans="1:19" x14ac:dyDescent="0.25">
      <c r="B43" s="363" t="s">
        <v>102</v>
      </c>
      <c r="C43" s="364"/>
      <c r="D43" s="364"/>
      <c r="E43" s="364"/>
      <c r="F43" s="113">
        <v>8400</v>
      </c>
      <c r="J43" s="121">
        <v>500</v>
      </c>
      <c r="K43" s="122">
        <v>100000</v>
      </c>
      <c r="L43" s="71"/>
      <c r="M43" t="s">
        <v>46</v>
      </c>
      <c r="Q43" s="4">
        <v>10000</v>
      </c>
      <c r="R43" s="111">
        <v>500000</v>
      </c>
    </row>
    <row r="44" spans="1:19" x14ac:dyDescent="0.25">
      <c r="B44" s="363" t="s">
        <v>103</v>
      </c>
      <c r="C44" s="364"/>
      <c r="D44" s="364"/>
      <c r="E44" s="364"/>
      <c r="F44" s="113">
        <v>20640</v>
      </c>
      <c r="J44" s="121">
        <v>100</v>
      </c>
      <c r="K44" s="122">
        <v>50000</v>
      </c>
      <c r="L44" s="71"/>
      <c r="M44" t="s">
        <v>46</v>
      </c>
      <c r="O44" t="s">
        <v>46</v>
      </c>
      <c r="Q44" s="4">
        <v>100</v>
      </c>
      <c r="R44" s="111">
        <v>53700</v>
      </c>
    </row>
    <row r="45" spans="1:19" x14ac:dyDescent="0.25">
      <c r="B45" s="365" t="s">
        <v>104</v>
      </c>
      <c r="C45" s="366"/>
      <c r="D45" s="366"/>
      <c r="E45" s="366"/>
      <c r="F45" s="114">
        <v>5200</v>
      </c>
      <c r="J45" s="121">
        <v>50</v>
      </c>
      <c r="K45" s="122">
        <v>13000</v>
      </c>
      <c r="L45" s="71"/>
      <c r="Q45" s="4">
        <v>500</v>
      </c>
      <c r="R45" s="111">
        <v>100000</v>
      </c>
    </row>
    <row r="46" spans="1:19" x14ac:dyDescent="0.25">
      <c r="B46" s="98"/>
      <c r="C46" s="109"/>
      <c r="D46" s="109"/>
      <c r="E46" s="109"/>
      <c r="F46" s="71">
        <f>SUM(F39:F45)</f>
        <v>255130</v>
      </c>
      <c r="J46" s="121">
        <v>50</v>
      </c>
      <c r="K46" s="122">
        <v>650</v>
      </c>
      <c r="L46" s="71"/>
      <c r="R46" s="111"/>
    </row>
    <row r="47" spans="1:19" x14ac:dyDescent="0.25">
      <c r="B47" s="367" t="s">
        <v>118</v>
      </c>
      <c r="C47" s="367"/>
      <c r="D47" s="367"/>
      <c r="E47" s="367"/>
      <c r="F47" s="112">
        <v>15000</v>
      </c>
      <c r="J47" s="121">
        <v>1000</v>
      </c>
      <c r="K47" s="122">
        <v>11000</v>
      </c>
      <c r="L47" s="71"/>
      <c r="Q47" s="4">
        <v>100</v>
      </c>
      <c r="R47" s="111">
        <v>50000</v>
      </c>
    </row>
    <row r="48" spans="1:19" x14ac:dyDescent="0.25">
      <c r="B48" s="364" t="s">
        <v>119</v>
      </c>
      <c r="C48" s="364"/>
      <c r="D48" s="364"/>
      <c r="E48" s="364"/>
      <c r="F48" s="113">
        <v>10000</v>
      </c>
      <c r="J48" s="121">
        <v>500</v>
      </c>
      <c r="K48" s="122">
        <v>23500</v>
      </c>
      <c r="L48" s="71"/>
      <c r="Q48" s="4">
        <v>50</v>
      </c>
      <c r="R48" s="111">
        <v>13000</v>
      </c>
    </row>
    <row r="49" spans="2:19" x14ac:dyDescent="0.25">
      <c r="B49" s="366" t="s">
        <v>106</v>
      </c>
      <c r="C49" s="366"/>
      <c r="D49" s="366"/>
      <c r="E49" s="366"/>
      <c r="F49" s="114">
        <f>+J2</f>
        <v>3056100</v>
      </c>
      <c r="J49" s="121">
        <v>100</v>
      </c>
      <c r="K49" s="122">
        <v>3600</v>
      </c>
      <c r="L49" s="71"/>
      <c r="Q49" s="4">
        <v>1000</v>
      </c>
      <c r="R49" s="111">
        <v>11000</v>
      </c>
    </row>
    <row r="50" spans="2:19" x14ac:dyDescent="0.25">
      <c r="B50" s="115"/>
      <c r="C50" s="115"/>
      <c r="D50" s="115"/>
      <c r="E50" s="115"/>
      <c r="F50" s="116">
        <f>SUM(F47:F49)</f>
        <v>3081100</v>
      </c>
      <c r="J50" s="121">
        <v>10</v>
      </c>
      <c r="K50" s="122">
        <v>20</v>
      </c>
      <c r="L50" s="71"/>
      <c r="R50" s="111"/>
    </row>
    <row r="51" spans="2:19" x14ac:dyDescent="0.25">
      <c r="B51" s="368" t="s">
        <v>133</v>
      </c>
      <c r="C51" s="368"/>
      <c r="D51" s="368"/>
      <c r="E51" s="368"/>
      <c r="F51" s="117">
        <f>Horas!$H$42</f>
        <v>626536.8055555555</v>
      </c>
      <c r="J51" s="121" t="s">
        <v>46</v>
      </c>
      <c r="K51" s="127">
        <v>-352000</v>
      </c>
      <c r="L51" s="71" t="s">
        <v>46</v>
      </c>
      <c r="Q51" s="4">
        <v>500</v>
      </c>
      <c r="R51" s="111">
        <v>23500</v>
      </c>
    </row>
    <row r="52" spans="2:19" ht="15.75" thickBot="1" x14ac:dyDescent="0.3">
      <c r="B52" s="109"/>
      <c r="C52" s="109"/>
      <c r="D52" s="109"/>
      <c r="E52" s="109"/>
      <c r="F52" s="71">
        <f>SUM(F51)</f>
        <v>626536.8055555555</v>
      </c>
      <c r="J52" s="121" t="s">
        <v>46</v>
      </c>
      <c r="K52" s="127">
        <f>SUM(K39:K51)</f>
        <v>1703470</v>
      </c>
      <c r="L52" s="71"/>
      <c r="M52">
        <v>1703470</v>
      </c>
      <c r="Q52" s="4">
        <v>50</v>
      </c>
      <c r="R52" s="111">
        <v>650</v>
      </c>
    </row>
    <row r="53" spans="2:19" ht="15.75" thickBot="1" x14ac:dyDescent="0.3">
      <c r="B53" s="369" t="s">
        <v>105</v>
      </c>
      <c r="C53" s="370"/>
      <c r="D53" s="370"/>
      <c r="E53" s="370"/>
      <c r="F53" s="118">
        <f>+F46+F50+F52</f>
        <v>3962766.8055555555</v>
      </c>
      <c r="J53" s="121" t="s">
        <v>138</v>
      </c>
      <c r="K53" s="122">
        <f>+F46</f>
        <v>255130</v>
      </c>
      <c r="L53" s="71"/>
      <c r="M53" t="s">
        <v>46</v>
      </c>
      <c r="Q53" s="4">
        <v>100</v>
      </c>
      <c r="R53" s="111">
        <v>3600</v>
      </c>
    </row>
    <row r="54" spans="2:19" x14ac:dyDescent="0.25">
      <c r="F54" s="71"/>
      <c r="J54" s="121" t="s">
        <v>106</v>
      </c>
      <c r="K54" s="122">
        <v>3081100</v>
      </c>
      <c r="O54" s="4" t="s">
        <v>46</v>
      </c>
      <c r="Q54" s="4">
        <v>10</v>
      </c>
      <c r="R54" s="111">
        <v>20</v>
      </c>
      <c r="S54" s="4">
        <v>1000000</v>
      </c>
    </row>
    <row r="55" spans="2:19" ht="15.75" thickBot="1" x14ac:dyDescent="0.3">
      <c r="F55" s="71"/>
      <c r="J55" s="123"/>
      <c r="K55" s="124"/>
      <c r="O55" s="4" t="s">
        <v>46</v>
      </c>
      <c r="R55" s="111"/>
      <c r="S55" s="4">
        <v>300000</v>
      </c>
    </row>
    <row r="56" spans="2:19" ht="15.75" thickBot="1" x14ac:dyDescent="0.3">
      <c r="B56" t="s">
        <v>46</v>
      </c>
      <c r="F56" s="71"/>
      <c r="J56" s="125" t="s">
        <v>109</v>
      </c>
      <c r="K56" s="126">
        <f>SUM(K39:K51)+SUM(K53:K54)</f>
        <v>5039700</v>
      </c>
      <c r="L56" s="71"/>
      <c r="M56" t="s">
        <v>46</v>
      </c>
      <c r="O56" s="4" t="s">
        <v>46</v>
      </c>
      <c r="R56" s="111"/>
      <c r="S56" s="4">
        <v>500000</v>
      </c>
    </row>
    <row r="57" spans="2:19" x14ac:dyDescent="0.25">
      <c r="B57" t="s">
        <v>46</v>
      </c>
      <c r="D57" s="358" t="s">
        <v>134</v>
      </c>
      <c r="E57" s="358"/>
      <c r="F57" s="358"/>
      <c r="G57" s="361">
        <f>+K56</f>
        <v>5039700</v>
      </c>
      <c r="H57" s="358"/>
      <c r="J57" s="4"/>
      <c r="K57" s="111"/>
      <c r="O57" s="4" t="s">
        <v>46</v>
      </c>
      <c r="R57" s="111"/>
      <c r="S57" s="4">
        <v>53700</v>
      </c>
    </row>
    <row r="58" spans="2:19" x14ac:dyDescent="0.25">
      <c r="B58" t="s">
        <v>46</v>
      </c>
      <c r="D58" s="358" t="s">
        <v>135</v>
      </c>
      <c r="E58" s="358"/>
      <c r="F58" s="358"/>
      <c r="G58" s="361">
        <f>+F53</f>
        <v>3962766.8055555555</v>
      </c>
      <c r="H58" s="358"/>
      <c r="J58" s="4"/>
      <c r="K58" s="111"/>
      <c r="L58" s="71"/>
      <c r="M58" t="s">
        <v>46</v>
      </c>
      <c r="R58" s="111"/>
      <c r="S58" s="4">
        <v>100000</v>
      </c>
    </row>
    <row r="59" spans="2:19" x14ac:dyDescent="0.25">
      <c r="D59" s="358" t="s">
        <v>136</v>
      </c>
      <c r="E59" s="358"/>
      <c r="F59" s="358"/>
      <c r="G59" s="361">
        <f>+G57-G58</f>
        <v>1076933.1944444445</v>
      </c>
      <c r="H59" s="358"/>
      <c r="J59" s="4"/>
      <c r="K59" s="111" t="s">
        <v>46</v>
      </c>
      <c r="R59" s="111"/>
      <c r="S59" s="4">
        <v>50000</v>
      </c>
    </row>
    <row r="60" spans="2:19" x14ac:dyDescent="0.25">
      <c r="D60" s="358"/>
      <c r="E60" s="358"/>
      <c r="F60" s="358"/>
      <c r="G60" s="358"/>
      <c r="H60" s="358"/>
      <c r="R60" s="111"/>
      <c r="S60" s="4"/>
    </row>
    <row r="61" spans="2:19" x14ac:dyDescent="0.25">
      <c r="R61" s="111">
        <f>SUM(R41:R60)</f>
        <v>2055470</v>
      </c>
      <c r="S61" s="4">
        <f>SUM(S54:S60)</f>
        <v>2003700</v>
      </c>
    </row>
  </sheetData>
  <mergeCells count="23">
    <mergeCell ref="B48:E48"/>
    <mergeCell ref="C3:F3"/>
    <mergeCell ref="G3:I3"/>
    <mergeCell ref="J38:K38"/>
    <mergeCell ref="B39:E39"/>
    <mergeCell ref="B40:E40"/>
    <mergeCell ref="B41:E41"/>
    <mergeCell ref="B42:E42"/>
    <mergeCell ref="B43:E43"/>
    <mergeCell ref="B44:E44"/>
    <mergeCell ref="B45:E45"/>
    <mergeCell ref="B47:E47"/>
    <mergeCell ref="D59:F59"/>
    <mergeCell ref="G59:H59"/>
    <mergeCell ref="D60:F60"/>
    <mergeCell ref="G60:H60"/>
    <mergeCell ref="B49:E49"/>
    <mergeCell ref="B51:E51"/>
    <mergeCell ref="B53:E53"/>
    <mergeCell ref="D57:F57"/>
    <mergeCell ref="G57:H57"/>
    <mergeCell ref="D58:F58"/>
    <mergeCell ref="G58:H5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M22" sqref="M22"/>
    </sheetView>
  </sheetViews>
  <sheetFormatPr baseColWidth="10" defaultColWidth="11.5703125" defaultRowHeight="15" x14ac:dyDescent="0.25"/>
  <cols>
    <col min="1" max="1" width="2.85546875" style="41" customWidth="1"/>
    <col min="2" max="2" width="6.42578125" style="96" customWidth="1"/>
    <col min="3" max="3" width="6.42578125" customWidth="1"/>
    <col min="4" max="5" width="7.85546875" customWidth="1"/>
    <col min="6" max="6" width="32.140625" customWidth="1"/>
  </cols>
  <sheetData>
    <row r="1" spans="1:9" ht="20.100000000000001" customHeight="1" thickBot="1" x14ac:dyDescent="0.3">
      <c r="B1" s="41"/>
    </row>
    <row r="2" spans="1:9" s="168" customFormat="1" ht="20.100000000000001" customHeight="1" x14ac:dyDescent="0.25">
      <c r="A2" s="166"/>
      <c r="B2" s="403" t="s">
        <v>148</v>
      </c>
      <c r="C2" s="404"/>
      <c r="D2" s="405"/>
      <c r="E2" s="188"/>
      <c r="F2" s="167" t="s">
        <v>149</v>
      </c>
      <c r="G2" s="167" t="s">
        <v>27</v>
      </c>
      <c r="H2" s="167" t="s">
        <v>27</v>
      </c>
    </row>
    <row r="3" spans="1:9" s="171" customFormat="1" ht="20.100000000000001" customHeight="1" thickBot="1" x14ac:dyDescent="0.3">
      <c r="A3" s="169"/>
      <c r="B3" s="170" t="s">
        <v>150</v>
      </c>
      <c r="C3" s="181" t="s">
        <v>151</v>
      </c>
      <c r="D3" s="182" t="s">
        <v>152</v>
      </c>
      <c r="E3" s="182"/>
      <c r="F3" s="183" t="s">
        <v>153</v>
      </c>
      <c r="G3" s="183" t="s">
        <v>46</v>
      </c>
      <c r="H3" s="183" t="s">
        <v>46</v>
      </c>
      <c r="I3" s="211" t="s">
        <v>46</v>
      </c>
    </row>
    <row r="4" spans="1:9" s="173" customFormat="1" ht="20.100000000000001" customHeight="1" x14ac:dyDescent="0.25">
      <c r="A4" s="172"/>
      <c r="B4" s="184" t="s">
        <v>46</v>
      </c>
      <c r="C4" s="185" t="s">
        <v>46</v>
      </c>
      <c r="D4" s="186" t="s">
        <v>46</v>
      </c>
      <c r="E4" s="186"/>
      <c r="F4" s="187" t="s">
        <v>46</v>
      </c>
      <c r="G4" s="208"/>
      <c r="H4" s="210"/>
    </row>
    <row r="5" spans="1:9" s="83" customFormat="1" ht="20.100000000000001" customHeight="1" x14ac:dyDescent="0.25">
      <c r="A5" s="174"/>
      <c r="B5" s="177">
        <v>130</v>
      </c>
      <c r="C5" s="178">
        <v>24</v>
      </c>
      <c r="D5" s="179">
        <f>+C5*B5</f>
        <v>3120</v>
      </c>
      <c r="E5" s="179">
        <v>2032</v>
      </c>
      <c r="F5" s="180" t="s">
        <v>176</v>
      </c>
      <c r="G5" s="209">
        <v>450</v>
      </c>
      <c r="H5" s="212">
        <f>+G5*E5</f>
        <v>914400</v>
      </c>
    </row>
    <row r="6" spans="1:9" s="83" customFormat="1" ht="20.100000000000001" customHeight="1" x14ac:dyDescent="0.25">
      <c r="A6" s="174"/>
      <c r="B6" s="177">
        <v>5</v>
      </c>
      <c r="C6" s="178">
        <v>24</v>
      </c>
      <c r="D6" s="179">
        <f>+C6*B6</f>
        <v>120</v>
      </c>
      <c r="E6" s="179">
        <v>109</v>
      </c>
      <c r="F6" s="180" t="s">
        <v>175</v>
      </c>
      <c r="G6" s="209">
        <v>450</v>
      </c>
      <c r="H6" s="212">
        <f t="shared" ref="H6:H26" si="0">+G6*E6</f>
        <v>49050</v>
      </c>
    </row>
    <row r="7" spans="1:9" s="83" customFormat="1" ht="20.100000000000001" customHeight="1" x14ac:dyDescent="0.25">
      <c r="A7" s="174"/>
      <c r="B7" s="177">
        <v>8</v>
      </c>
      <c r="C7" s="178">
        <v>12</v>
      </c>
      <c r="D7" s="179">
        <f t="shared" ref="D7:D26" si="1">+C7*B7</f>
        <v>96</v>
      </c>
      <c r="E7" s="179">
        <v>79</v>
      </c>
      <c r="F7" s="180" t="s">
        <v>154</v>
      </c>
      <c r="G7" s="209">
        <v>450</v>
      </c>
      <c r="H7" s="212">
        <f t="shared" si="0"/>
        <v>35550</v>
      </c>
    </row>
    <row r="8" spans="1:9" s="83" customFormat="1" ht="20.100000000000001" customHeight="1" x14ac:dyDescent="0.25">
      <c r="A8" s="174"/>
      <c r="B8" s="177">
        <v>5</v>
      </c>
      <c r="C8" s="178">
        <v>24</v>
      </c>
      <c r="D8" s="179">
        <f t="shared" si="1"/>
        <v>120</v>
      </c>
      <c r="E8" s="179">
        <v>247</v>
      </c>
      <c r="F8" s="180" t="s">
        <v>155</v>
      </c>
      <c r="G8" s="209">
        <v>450</v>
      </c>
      <c r="H8" s="212">
        <f t="shared" si="0"/>
        <v>111150</v>
      </c>
    </row>
    <row r="9" spans="1:9" s="83" customFormat="1" ht="20.100000000000001" customHeight="1" x14ac:dyDescent="0.25">
      <c r="A9" s="174"/>
      <c r="B9" s="177">
        <v>5</v>
      </c>
      <c r="C9" s="178">
        <v>24</v>
      </c>
      <c r="D9" s="179">
        <f t="shared" ref="D9" si="2">+C9*B9</f>
        <v>120</v>
      </c>
      <c r="E9" s="179">
        <v>79</v>
      </c>
      <c r="F9" s="180" t="s">
        <v>156</v>
      </c>
      <c r="G9" s="209">
        <v>450</v>
      </c>
      <c r="H9" s="212">
        <f t="shared" ref="H9" si="3">+G9*E9</f>
        <v>35550</v>
      </c>
    </row>
    <row r="10" spans="1:9" s="83" customFormat="1" ht="20.100000000000001" customHeight="1" x14ac:dyDescent="0.25">
      <c r="A10" s="174"/>
      <c r="B10" s="177">
        <v>5</v>
      </c>
      <c r="C10" s="178">
        <v>24</v>
      </c>
      <c r="D10" s="179">
        <f t="shared" ref="D10" si="4">+C10*B10</f>
        <v>120</v>
      </c>
      <c r="E10" s="179">
        <v>37</v>
      </c>
      <c r="F10" s="180" t="s">
        <v>218</v>
      </c>
      <c r="G10" s="209">
        <v>450</v>
      </c>
      <c r="H10" s="212">
        <f t="shared" ref="H10" si="5">+G10*E10</f>
        <v>16650</v>
      </c>
    </row>
    <row r="11" spans="1:9" s="83" customFormat="1" ht="20.100000000000001" customHeight="1" x14ac:dyDescent="0.25">
      <c r="A11" s="174"/>
      <c r="B11" s="177">
        <v>40</v>
      </c>
      <c r="C11" s="178">
        <v>24</v>
      </c>
      <c r="D11" s="179">
        <f t="shared" si="1"/>
        <v>960</v>
      </c>
      <c r="E11" s="179">
        <v>658</v>
      </c>
      <c r="F11" s="180" t="s">
        <v>75</v>
      </c>
      <c r="G11" s="209">
        <v>700</v>
      </c>
      <c r="H11" s="212">
        <f t="shared" si="0"/>
        <v>460600</v>
      </c>
    </row>
    <row r="12" spans="1:9" s="83" customFormat="1" ht="20.100000000000001" customHeight="1" x14ac:dyDescent="0.25">
      <c r="A12" s="174"/>
      <c r="B12" s="177">
        <v>18</v>
      </c>
      <c r="C12" s="178">
        <v>24</v>
      </c>
      <c r="D12" s="179">
        <f t="shared" si="1"/>
        <v>432</v>
      </c>
      <c r="E12" s="179">
        <v>1300</v>
      </c>
      <c r="F12" s="180" t="s">
        <v>17</v>
      </c>
      <c r="G12" s="209">
        <v>600</v>
      </c>
      <c r="H12" s="212">
        <f t="shared" si="0"/>
        <v>780000</v>
      </c>
    </row>
    <row r="13" spans="1:9" s="83" customFormat="1" ht="20.100000000000001" customHeight="1" x14ac:dyDescent="0.25">
      <c r="A13" s="174"/>
      <c r="B13" s="177">
        <v>7</v>
      </c>
      <c r="C13" s="178">
        <v>24</v>
      </c>
      <c r="D13" s="179">
        <f t="shared" si="1"/>
        <v>168</v>
      </c>
      <c r="E13" s="179">
        <v>31</v>
      </c>
      <c r="F13" s="180" t="s">
        <v>157</v>
      </c>
      <c r="G13" s="209">
        <v>1000</v>
      </c>
      <c r="H13" s="212">
        <f t="shared" si="0"/>
        <v>31000</v>
      </c>
    </row>
    <row r="14" spans="1:9" s="83" customFormat="1" ht="20.100000000000001" customHeight="1" x14ac:dyDescent="0.25">
      <c r="A14" s="174"/>
      <c r="B14" s="177">
        <v>10</v>
      </c>
      <c r="C14" s="178">
        <v>24</v>
      </c>
      <c r="D14" s="179">
        <f t="shared" si="1"/>
        <v>240</v>
      </c>
      <c r="E14" s="179">
        <v>108</v>
      </c>
      <c r="F14" s="180" t="s">
        <v>158</v>
      </c>
      <c r="G14" s="209">
        <v>600</v>
      </c>
      <c r="H14" s="212">
        <f t="shared" si="0"/>
        <v>64800</v>
      </c>
    </row>
    <row r="15" spans="1:9" s="176" customFormat="1" ht="20.100000000000001" customHeight="1" x14ac:dyDescent="0.25">
      <c r="A15" s="175"/>
      <c r="B15" s="177">
        <v>50</v>
      </c>
      <c r="C15" s="178">
        <v>12</v>
      </c>
      <c r="D15" s="179">
        <f t="shared" si="1"/>
        <v>600</v>
      </c>
      <c r="E15" s="179">
        <v>597</v>
      </c>
      <c r="F15" s="180" t="s">
        <v>159</v>
      </c>
      <c r="G15" s="209">
        <v>1800</v>
      </c>
      <c r="H15" s="212">
        <f t="shared" si="0"/>
        <v>1074600</v>
      </c>
    </row>
    <row r="16" spans="1:9" s="176" customFormat="1" ht="20.100000000000001" customHeight="1" x14ac:dyDescent="0.25">
      <c r="A16" s="175"/>
      <c r="B16" s="177">
        <v>10</v>
      </c>
      <c r="C16" s="178">
        <v>12</v>
      </c>
      <c r="D16" s="179">
        <f t="shared" si="1"/>
        <v>120</v>
      </c>
      <c r="E16" s="179">
        <v>39</v>
      </c>
      <c r="F16" s="180" t="s">
        <v>160</v>
      </c>
      <c r="G16" s="209">
        <v>1800</v>
      </c>
      <c r="H16" s="212">
        <f t="shared" si="0"/>
        <v>70200</v>
      </c>
    </row>
    <row r="17" spans="1:8" s="176" customFormat="1" ht="20.100000000000001" customHeight="1" x14ac:dyDescent="0.25">
      <c r="A17" s="175"/>
      <c r="B17" s="177">
        <v>9</v>
      </c>
      <c r="C17" s="178">
        <v>12</v>
      </c>
      <c r="D17" s="179">
        <f t="shared" si="1"/>
        <v>108</v>
      </c>
      <c r="E17" s="179">
        <v>78</v>
      </c>
      <c r="F17" s="180" t="s">
        <v>161</v>
      </c>
      <c r="G17" s="209">
        <v>2000</v>
      </c>
      <c r="H17" s="212">
        <f t="shared" si="0"/>
        <v>156000</v>
      </c>
    </row>
    <row r="18" spans="1:8" s="176" customFormat="1" ht="20.100000000000001" customHeight="1" x14ac:dyDescent="0.25">
      <c r="A18" s="175"/>
      <c r="B18" s="177">
        <v>1</v>
      </c>
      <c r="C18" s="178">
        <v>12</v>
      </c>
      <c r="D18" s="179">
        <f t="shared" si="1"/>
        <v>12</v>
      </c>
      <c r="E18" s="179">
        <v>9</v>
      </c>
      <c r="F18" s="180" t="s">
        <v>162</v>
      </c>
      <c r="G18" s="209">
        <v>3000</v>
      </c>
      <c r="H18" s="212">
        <f t="shared" si="0"/>
        <v>27000</v>
      </c>
    </row>
    <row r="19" spans="1:8" s="83" customFormat="1" ht="20.100000000000001" customHeight="1" x14ac:dyDescent="0.25">
      <c r="A19" s="174"/>
      <c r="B19" s="177">
        <v>70</v>
      </c>
      <c r="C19" s="178">
        <v>1</v>
      </c>
      <c r="D19" s="179">
        <f t="shared" si="1"/>
        <v>70</v>
      </c>
      <c r="E19" s="179">
        <v>34</v>
      </c>
      <c r="F19" s="180" t="s">
        <v>163</v>
      </c>
      <c r="G19" s="209">
        <v>2500</v>
      </c>
      <c r="H19" s="212">
        <f t="shared" si="0"/>
        <v>85000</v>
      </c>
    </row>
    <row r="20" spans="1:8" s="83" customFormat="1" ht="20.100000000000001" customHeight="1" x14ac:dyDescent="0.25">
      <c r="A20" s="174"/>
      <c r="B20" s="177">
        <v>7</v>
      </c>
      <c r="C20" s="178">
        <v>12</v>
      </c>
      <c r="D20" s="179">
        <f t="shared" si="1"/>
        <v>84</v>
      </c>
      <c r="E20" s="179">
        <v>9</v>
      </c>
      <c r="F20" s="180" t="s">
        <v>164</v>
      </c>
      <c r="G20" s="209">
        <v>3800</v>
      </c>
      <c r="H20" s="212">
        <f t="shared" si="0"/>
        <v>34200</v>
      </c>
    </row>
    <row r="21" spans="1:8" s="83" customFormat="1" ht="20.100000000000001" customHeight="1" x14ac:dyDescent="0.25">
      <c r="A21" s="174"/>
      <c r="B21" s="177">
        <v>10</v>
      </c>
      <c r="C21" s="178">
        <v>12</v>
      </c>
      <c r="D21" s="179">
        <f t="shared" si="1"/>
        <v>120</v>
      </c>
      <c r="E21" s="179">
        <v>62</v>
      </c>
      <c r="F21" s="180" t="s">
        <v>166</v>
      </c>
      <c r="G21" s="209">
        <v>4200</v>
      </c>
      <c r="H21" s="212">
        <f t="shared" si="0"/>
        <v>260400</v>
      </c>
    </row>
    <row r="22" spans="1:8" s="83" customFormat="1" ht="20.100000000000001" customHeight="1" x14ac:dyDescent="0.25">
      <c r="A22" s="174"/>
      <c r="B22" s="177">
        <v>1</v>
      </c>
      <c r="C22" s="178">
        <v>12</v>
      </c>
      <c r="D22" s="179">
        <f t="shared" si="1"/>
        <v>12</v>
      </c>
      <c r="E22" s="179">
        <v>9</v>
      </c>
      <c r="F22" s="180" t="s">
        <v>167</v>
      </c>
      <c r="G22" s="209">
        <v>5000</v>
      </c>
      <c r="H22" s="212">
        <f t="shared" si="0"/>
        <v>45000</v>
      </c>
    </row>
    <row r="23" spans="1:8" s="83" customFormat="1" ht="20.100000000000001" customHeight="1" x14ac:dyDescent="0.25">
      <c r="A23" s="174"/>
      <c r="B23" s="177">
        <v>8</v>
      </c>
      <c r="C23" s="178">
        <v>12</v>
      </c>
      <c r="D23" s="179">
        <f t="shared" si="1"/>
        <v>96</v>
      </c>
      <c r="E23" s="179">
        <v>51</v>
      </c>
      <c r="F23" s="180" t="s">
        <v>168</v>
      </c>
      <c r="G23" s="209">
        <v>6000</v>
      </c>
      <c r="H23" s="212">
        <f t="shared" si="0"/>
        <v>306000</v>
      </c>
    </row>
    <row r="24" spans="1:8" s="83" customFormat="1" ht="20.100000000000001" customHeight="1" x14ac:dyDescent="0.25">
      <c r="A24" s="174"/>
      <c r="B24" s="177">
        <v>1</v>
      </c>
      <c r="C24" s="178">
        <v>12</v>
      </c>
      <c r="D24" s="179">
        <f t="shared" si="1"/>
        <v>12</v>
      </c>
      <c r="E24" s="179">
        <v>6</v>
      </c>
      <c r="F24" s="180" t="s">
        <v>169</v>
      </c>
      <c r="G24" s="209">
        <v>8000</v>
      </c>
      <c r="H24" s="212">
        <f t="shared" si="0"/>
        <v>48000</v>
      </c>
    </row>
    <row r="25" spans="1:8" s="83" customFormat="1" ht="20.100000000000001" customHeight="1" x14ac:dyDescent="0.25">
      <c r="A25" s="174"/>
      <c r="B25" s="177">
        <v>1</v>
      </c>
      <c r="C25" s="178">
        <v>12</v>
      </c>
      <c r="D25" s="179">
        <v>9</v>
      </c>
      <c r="E25" s="179">
        <v>5</v>
      </c>
      <c r="F25" s="180" t="s">
        <v>170</v>
      </c>
      <c r="G25" s="209">
        <v>7000</v>
      </c>
      <c r="H25" s="212">
        <f t="shared" si="0"/>
        <v>35000</v>
      </c>
    </row>
    <row r="26" spans="1:8" s="83" customFormat="1" ht="20.100000000000001" customHeight="1" thickBot="1" x14ac:dyDescent="0.3">
      <c r="A26" s="174"/>
      <c r="B26" s="213">
        <v>2</v>
      </c>
      <c r="C26" s="214">
        <v>12</v>
      </c>
      <c r="D26" s="215">
        <f t="shared" si="1"/>
        <v>24</v>
      </c>
      <c r="E26" s="215">
        <v>13</v>
      </c>
      <c r="F26" s="216" t="s">
        <v>171</v>
      </c>
      <c r="G26" s="217">
        <v>8000</v>
      </c>
      <c r="H26" s="218">
        <f t="shared" si="0"/>
        <v>104000</v>
      </c>
    </row>
    <row r="27" spans="1:8" x14ac:dyDescent="0.25">
      <c r="B27" s="41" t="s">
        <v>46</v>
      </c>
      <c r="C27" t="s">
        <v>46</v>
      </c>
      <c r="D27" t="s">
        <v>46</v>
      </c>
      <c r="E27" t="s">
        <v>46</v>
      </c>
      <c r="F27" t="s">
        <v>46</v>
      </c>
      <c r="G27" t="s">
        <v>46</v>
      </c>
      <c r="H27" s="71">
        <f>SUM(H4:H26)</f>
        <v>4744150</v>
      </c>
    </row>
    <row r="28" spans="1:8" x14ac:dyDescent="0.25">
      <c r="B28" s="41"/>
    </row>
    <row r="29" spans="1:8" x14ac:dyDescent="0.25">
      <c r="B29" s="41"/>
    </row>
    <row r="30" spans="1:8" x14ac:dyDescent="0.25">
      <c r="B30" s="41"/>
    </row>
    <row r="31" spans="1:8" x14ac:dyDescent="0.25">
      <c r="B31" s="41"/>
    </row>
    <row r="32" spans="1:8" x14ac:dyDescent="0.25">
      <c r="B32" s="41"/>
    </row>
    <row r="33" spans="2:2" x14ac:dyDescent="0.25">
      <c r="B33" s="41"/>
    </row>
    <row r="34" spans="2:2" x14ac:dyDescent="0.25">
      <c r="B34" s="41"/>
    </row>
    <row r="35" spans="2:2" x14ac:dyDescent="0.25">
      <c r="B35" s="41"/>
    </row>
    <row r="36" spans="2:2" x14ac:dyDescent="0.25">
      <c r="B36" s="41"/>
    </row>
    <row r="37" spans="2:2" x14ac:dyDescent="0.25">
      <c r="B37" s="41"/>
    </row>
    <row r="38" spans="2:2" x14ac:dyDescent="0.25">
      <c r="B38" s="41"/>
    </row>
    <row r="39" spans="2:2" x14ac:dyDescent="0.25">
      <c r="B39" s="41"/>
    </row>
    <row r="40" spans="2:2" x14ac:dyDescent="0.25">
      <c r="B40" s="41"/>
    </row>
    <row r="41" spans="2:2" x14ac:dyDescent="0.25">
      <c r="B41" s="41"/>
    </row>
    <row r="42" spans="2:2" x14ac:dyDescent="0.25">
      <c r="B42" s="41"/>
    </row>
    <row r="43" spans="2:2" x14ac:dyDescent="0.25">
      <c r="B43" s="41"/>
    </row>
    <row r="44" spans="2:2" x14ac:dyDescent="0.25">
      <c r="B44" s="41"/>
    </row>
    <row r="45" spans="2:2" x14ac:dyDescent="0.25">
      <c r="B45" s="41"/>
    </row>
    <row r="46" spans="2:2" x14ac:dyDescent="0.25">
      <c r="B46" s="41"/>
    </row>
    <row r="47" spans="2:2" x14ac:dyDescent="0.25">
      <c r="B47" s="41"/>
    </row>
    <row r="48" spans="2:2" x14ac:dyDescent="0.25">
      <c r="B48" s="41"/>
    </row>
    <row r="49" spans="1:8" x14ac:dyDescent="0.25">
      <c r="B49" s="41"/>
    </row>
    <row r="50" spans="1:8" x14ac:dyDescent="0.25">
      <c r="B50" s="41"/>
    </row>
    <row r="51" spans="1:8" x14ac:dyDescent="0.25">
      <c r="B51" s="41"/>
    </row>
    <row r="52" spans="1:8" x14ac:dyDescent="0.25">
      <c r="B52" s="41"/>
    </row>
    <row r="53" spans="1:8" x14ac:dyDescent="0.25">
      <c r="B53" s="41"/>
    </row>
    <row r="54" spans="1:8" x14ac:dyDescent="0.25">
      <c r="B54" s="41"/>
    </row>
    <row r="55" spans="1:8" x14ac:dyDescent="0.25">
      <c r="B55" s="41" t="s">
        <v>46</v>
      </c>
      <c r="C55" t="s">
        <v>46</v>
      </c>
      <c r="D55" t="s">
        <v>46</v>
      </c>
      <c r="F55" t="s">
        <v>46</v>
      </c>
    </row>
    <row r="57" spans="1:8" s="191" customFormat="1" ht="24.95" customHeight="1" x14ac:dyDescent="0.35">
      <c r="A57" s="189"/>
      <c r="B57" s="190"/>
      <c r="F57" s="191" t="s">
        <v>202</v>
      </c>
      <c r="G57" s="192">
        <v>2000</v>
      </c>
      <c r="H57" s="192">
        <v>2000</v>
      </c>
    </row>
    <row r="58" spans="1:8" s="191" customFormat="1" ht="24.95" customHeight="1" x14ac:dyDescent="0.35">
      <c r="A58" s="189"/>
      <c r="B58" s="190"/>
      <c r="F58" s="191" t="s">
        <v>203</v>
      </c>
      <c r="G58" s="192">
        <v>1500</v>
      </c>
      <c r="H58" s="192">
        <v>1500</v>
      </c>
    </row>
    <row r="59" spans="1:8" s="191" customFormat="1" ht="24.95" customHeight="1" x14ac:dyDescent="0.35">
      <c r="A59" s="189"/>
      <c r="B59" s="190"/>
      <c r="F59" s="191" t="s">
        <v>204</v>
      </c>
      <c r="G59" s="192">
        <v>1000</v>
      </c>
      <c r="H59" s="192">
        <v>1000</v>
      </c>
    </row>
    <row r="60" spans="1:8" s="191" customFormat="1" ht="24.95" customHeight="1" x14ac:dyDescent="0.35">
      <c r="A60" s="189"/>
      <c r="B60" s="190"/>
      <c r="G60" s="192"/>
      <c r="H60" s="192"/>
    </row>
    <row r="61" spans="1:8" s="191" customFormat="1" ht="24.95" customHeight="1" x14ac:dyDescent="0.35">
      <c r="A61" s="189"/>
      <c r="B61" s="190"/>
      <c r="F61" s="193" t="s">
        <v>177</v>
      </c>
      <c r="G61" s="192"/>
      <c r="H61" s="192"/>
    </row>
    <row r="62" spans="1:8" s="191" customFormat="1" ht="24.95" customHeight="1" x14ac:dyDescent="0.35">
      <c r="A62" s="189"/>
      <c r="B62" s="190"/>
      <c r="F62" s="194" t="s">
        <v>197</v>
      </c>
      <c r="G62" s="192">
        <v>1000</v>
      </c>
      <c r="H62" s="192">
        <v>1000</v>
      </c>
    </row>
    <row r="63" spans="1:8" s="191" customFormat="1" ht="24.95" customHeight="1" x14ac:dyDescent="0.35">
      <c r="A63" s="189"/>
      <c r="B63" s="190"/>
      <c r="F63" s="194" t="s">
        <v>17</v>
      </c>
      <c r="G63" s="192">
        <v>1000</v>
      </c>
      <c r="H63" s="192">
        <v>1000</v>
      </c>
    </row>
    <row r="64" spans="1:8" s="191" customFormat="1" ht="24.95" customHeight="1" x14ac:dyDescent="0.35">
      <c r="A64" s="189"/>
      <c r="B64" s="190"/>
      <c r="F64" s="191" t="s">
        <v>178</v>
      </c>
      <c r="G64" s="192">
        <v>3500</v>
      </c>
      <c r="H64" s="192">
        <v>3500</v>
      </c>
    </row>
    <row r="65" spans="1:8" s="191" customFormat="1" ht="24.95" customHeight="1" x14ac:dyDescent="0.35">
      <c r="A65" s="189"/>
      <c r="B65" s="190"/>
      <c r="F65" s="191" t="s">
        <v>179</v>
      </c>
      <c r="G65" s="192">
        <v>4000</v>
      </c>
      <c r="H65" s="192">
        <v>4000</v>
      </c>
    </row>
    <row r="66" spans="1:8" s="191" customFormat="1" ht="24.95" customHeight="1" x14ac:dyDescent="0.35">
      <c r="A66" s="189"/>
      <c r="B66" s="190"/>
      <c r="F66" s="191" t="s">
        <v>29</v>
      </c>
      <c r="G66" s="192">
        <v>5000</v>
      </c>
      <c r="H66" s="192">
        <v>5000</v>
      </c>
    </row>
    <row r="67" spans="1:8" s="191" customFormat="1" ht="24.95" customHeight="1" x14ac:dyDescent="0.35">
      <c r="A67" s="189"/>
      <c r="B67" s="190"/>
      <c r="F67" s="191" t="s">
        <v>180</v>
      </c>
      <c r="G67" s="192">
        <v>7000</v>
      </c>
      <c r="H67" s="192">
        <v>7000</v>
      </c>
    </row>
    <row r="68" spans="1:8" s="191" customFormat="1" ht="24.95" customHeight="1" x14ac:dyDescent="0.35">
      <c r="A68" s="189"/>
      <c r="B68" s="190"/>
      <c r="G68" s="192"/>
      <c r="H68" s="192"/>
    </row>
    <row r="69" spans="1:8" s="191" customFormat="1" ht="24.95" customHeight="1" x14ac:dyDescent="0.35">
      <c r="A69" s="189"/>
      <c r="B69" s="190"/>
      <c r="F69" s="193" t="s">
        <v>181</v>
      </c>
      <c r="G69" s="192"/>
      <c r="H69" s="192"/>
    </row>
    <row r="70" spans="1:8" s="191" customFormat="1" ht="24.95" customHeight="1" x14ac:dyDescent="0.35">
      <c r="A70" s="189"/>
      <c r="B70" s="190"/>
      <c r="F70" s="191" t="s">
        <v>176</v>
      </c>
      <c r="G70" s="192">
        <v>1000</v>
      </c>
      <c r="H70" s="192">
        <v>1000</v>
      </c>
    </row>
    <row r="71" spans="1:8" s="191" customFormat="1" ht="24.95" customHeight="1" x14ac:dyDescent="0.35">
      <c r="A71" s="189"/>
      <c r="B71" s="190"/>
      <c r="F71" s="191" t="s">
        <v>172</v>
      </c>
      <c r="G71" s="192">
        <v>1000</v>
      </c>
      <c r="H71" s="192">
        <v>1000</v>
      </c>
    </row>
    <row r="72" spans="1:8" s="191" customFormat="1" ht="24.95" customHeight="1" x14ac:dyDescent="0.35">
      <c r="A72" s="189"/>
      <c r="B72" s="190"/>
      <c r="F72" s="191" t="s">
        <v>173</v>
      </c>
      <c r="G72" s="192">
        <v>1000</v>
      </c>
      <c r="H72" s="192">
        <v>1000</v>
      </c>
    </row>
    <row r="73" spans="1:8" s="191" customFormat="1" ht="24.95" customHeight="1" x14ac:dyDescent="0.35">
      <c r="A73" s="189"/>
      <c r="B73" s="190"/>
      <c r="F73" s="191" t="s">
        <v>182</v>
      </c>
      <c r="G73" s="192">
        <v>1000</v>
      </c>
      <c r="H73" s="192">
        <v>1000</v>
      </c>
    </row>
    <row r="74" spans="1:8" s="191" customFormat="1" ht="24.95" customHeight="1" x14ac:dyDescent="0.35">
      <c r="A74" s="189"/>
      <c r="B74" s="190"/>
      <c r="F74" s="191" t="s">
        <v>183</v>
      </c>
      <c r="G74" s="192">
        <v>1000</v>
      </c>
      <c r="H74" s="192">
        <v>1000</v>
      </c>
    </row>
    <row r="75" spans="1:8" s="191" customFormat="1" ht="24.95" customHeight="1" x14ac:dyDescent="0.35">
      <c r="A75" s="189"/>
      <c r="B75" s="190"/>
      <c r="F75" s="191" t="s">
        <v>174</v>
      </c>
      <c r="G75" s="192">
        <v>1000</v>
      </c>
      <c r="H75" s="192">
        <v>1000</v>
      </c>
    </row>
    <row r="76" spans="1:8" s="191" customFormat="1" ht="24.95" customHeight="1" x14ac:dyDescent="0.35">
      <c r="A76" s="189"/>
      <c r="B76" s="190"/>
      <c r="G76" s="192"/>
      <c r="H76" s="192"/>
    </row>
    <row r="77" spans="1:8" s="191" customFormat="1" ht="24.95" customHeight="1" x14ac:dyDescent="0.35">
      <c r="A77" s="189"/>
      <c r="B77" s="190"/>
      <c r="F77" s="193" t="s">
        <v>205</v>
      </c>
      <c r="G77" s="192"/>
      <c r="H77" s="192"/>
    </row>
    <row r="78" spans="1:8" s="191" customFormat="1" ht="24.95" customHeight="1" x14ac:dyDescent="0.35">
      <c r="A78" s="189"/>
      <c r="B78" s="190"/>
      <c r="F78" s="191" t="s">
        <v>200</v>
      </c>
      <c r="G78" s="192">
        <v>1000</v>
      </c>
      <c r="H78" s="192">
        <v>1000</v>
      </c>
    </row>
    <row r="79" spans="1:8" s="191" customFormat="1" ht="24.95" customHeight="1" x14ac:dyDescent="0.35">
      <c r="A79" s="189"/>
      <c r="B79" s="190"/>
      <c r="F79" s="191" t="s">
        <v>201</v>
      </c>
      <c r="G79" s="192">
        <v>1000</v>
      </c>
      <c r="H79" s="192">
        <v>1000</v>
      </c>
    </row>
    <row r="80" spans="1:8" s="191" customFormat="1" ht="24.95" customHeight="1" x14ac:dyDescent="0.35">
      <c r="A80" s="189"/>
      <c r="B80" s="190"/>
      <c r="F80" s="191" t="s">
        <v>184</v>
      </c>
      <c r="G80" s="192">
        <v>1000</v>
      </c>
      <c r="H80" s="192">
        <v>1000</v>
      </c>
    </row>
    <row r="81" spans="1:8" s="191" customFormat="1" ht="24.95" customHeight="1" x14ac:dyDescent="0.35">
      <c r="A81" s="189"/>
      <c r="B81" s="190"/>
      <c r="G81" s="192"/>
      <c r="H81" s="192"/>
    </row>
    <row r="82" spans="1:8" s="191" customFormat="1" ht="24.95" customHeight="1" x14ac:dyDescent="0.35">
      <c r="A82" s="189"/>
      <c r="B82" s="190"/>
      <c r="F82" s="193" t="s">
        <v>185</v>
      </c>
      <c r="G82" s="192"/>
      <c r="H82" s="192"/>
    </row>
    <row r="83" spans="1:8" s="191" customFormat="1" ht="24.95" customHeight="1" x14ac:dyDescent="0.35">
      <c r="A83" s="189"/>
      <c r="B83" s="190"/>
      <c r="F83" s="191" t="s">
        <v>9</v>
      </c>
      <c r="G83" s="192">
        <v>2000</v>
      </c>
      <c r="H83" s="192">
        <v>2000</v>
      </c>
    </row>
    <row r="84" spans="1:8" s="191" customFormat="1" ht="24.95" customHeight="1" x14ac:dyDescent="0.35">
      <c r="A84" s="189"/>
      <c r="B84" s="190"/>
      <c r="G84" s="192"/>
      <c r="H84" s="192"/>
    </row>
    <row r="85" spans="1:8" s="191" customFormat="1" ht="24.95" customHeight="1" x14ac:dyDescent="0.35">
      <c r="A85" s="189"/>
      <c r="B85" s="190"/>
      <c r="F85" s="193" t="s">
        <v>186</v>
      </c>
      <c r="G85" s="192"/>
      <c r="H85" s="192"/>
    </row>
    <row r="86" spans="1:8" s="191" customFormat="1" ht="24.95" customHeight="1" x14ac:dyDescent="0.35">
      <c r="A86" s="189"/>
      <c r="B86" s="190"/>
      <c r="F86" s="191" t="s">
        <v>187</v>
      </c>
      <c r="G86" s="192">
        <v>1000</v>
      </c>
      <c r="H86" s="192">
        <v>1000</v>
      </c>
    </row>
    <row r="87" spans="1:8" s="191" customFormat="1" ht="24.95" customHeight="1" x14ac:dyDescent="0.35">
      <c r="A87" s="189"/>
      <c r="B87" s="190"/>
      <c r="F87" s="191" t="s">
        <v>188</v>
      </c>
      <c r="G87" s="192">
        <v>1000</v>
      </c>
      <c r="H87" s="192">
        <v>1000</v>
      </c>
    </row>
    <row r="88" spans="1:8" s="191" customFormat="1" ht="24.95" customHeight="1" x14ac:dyDescent="0.35">
      <c r="A88" s="189"/>
      <c r="B88" s="190"/>
      <c r="F88" s="191" t="s">
        <v>190</v>
      </c>
      <c r="G88" s="192">
        <v>1000</v>
      </c>
      <c r="H88" s="192">
        <v>1000</v>
      </c>
    </row>
    <row r="89" spans="1:8" s="191" customFormat="1" ht="24.95" customHeight="1" x14ac:dyDescent="0.35">
      <c r="A89" s="189"/>
      <c r="B89" s="190"/>
      <c r="F89" s="191" t="s">
        <v>198</v>
      </c>
      <c r="G89" s="192">
        <v>1500</v>
      </c>
      <c r="H89" s="192">
        <v>1500</v>
      </c>
    </row>
    <row r="90" spans="1:8" s="191" customFormat="1" ht="24.95" customHeight="1" x14ac:dyDescent="0.35">
      <c r="A90" s="189"/>
      <c r="B90" s="190"/>
      <c r="F90" s="191" t="s">
        <v>189</v>
      </c>
      <c r="G90" s="192">
        <v>1500</v>
      </c>
      <c r="H90" s="192">
        <v>1500</v>
      </c>
    </row>
    <row r="91" spans="1:8" s="191" customFormat="1" ht="24.95" customHeight="1" x14ac:dyDescent="0.35">
      <c r="A91" s="189"/>
      <c r="B91" s="190"/>
      <c r="G91" s="192"/>
      <c r="H91" s="192"/>
    </row>
    <row r="92" spans="1:8" s="191" customFormat="1" ht="24.95" customHeight="1" x14ac:dyDescent="0.35">
      <c r="A92" s="189"/>
      <c r="B92" s="190"/>
      <c r="F92" s="193" t="s">
        <v>191</v>
      </c>
      <c r="G92" s="192"/>
      <c r="H92" s="192"/>
    </row>
    <row r="93" spans="1:8" s="197" customFormat="1" ht="24.95" customHeight="1" x14ac:dyDescent="0.35">
      <c r="A93" s="195"/>
      <c r="B93" s="196"/>
      <c r="F93" s="198" t="s">
        <v>199</v>
      </c>
      <c r="G93" s="54">
        <v>1500</v>
      </c>
      <c r="H93" s="54">
        <v>1500</v>
      </c>
    </row>
    <row r="94" spans="1:8" s="197" customFormat="1" ht="24.95" customHeight="1" x14ac:dyDescent="0.35">
      <c r="A94" s="195"/>
      <c r="B94" s="196"/>
      <c r="F94" s="197" t="s">
        <v>19</v>
      </c>
      <c r="G94" s="54">
        <v>5000</v>
      </c>
      <c r="H94" s="54">
        <v>5000</v>
      </c>
    </row>
    <row r="95" spans="1:8" s="197" customFormat="1" ht="24.95" customHeight="1" x14ac:dyDescent="0.35">
      <c r="A95" s="195"/>
      <c r="B95" s="196"/>
      <c r="F95" s="197" t="s">
        <v>18</v>
      </c>
      <c r="G95" s="54">
        <v>5000</v>
      </c>
      <c r="H95" s="54">
        <v>5000</v>
      </c>
    </row>
    <row r="96" spans="1:8" s="197" customFormat="1" ht="24.95" customHeight="1" x14ac:dyDescent="0.35">
      <c r="A96" s="195"/>
      <c r="B96" s="196"/>
      <c r="G96" s="54"/>
      <c r="H96" s="54"/>
    </row>
    <row r="97" spans="1:8" s="197" customFormat="1" ht="24.95" customHeight="1" x14ac:dyDescent="0.35">
      <c r="A97" s="195"/>
      <c r="B97" s="196"/>
      <c r="F97" s="199" t="s">
        <v>192</v>
      </c>
      <c r="G97" s="54"/>
      <c r="H97" s="54"/>
    </row>
    <row r="98" spans="1:8" s="197" customFormat="1" ht="24.95" customHeight="1" x14ac:dyDescent="0.35">
      <c r="A98" s="195"/>
      <c r="B98" s="196"/>
      <c r="F98" s="197" t="s">
        <v>165</v>
      </c>
      <c r="G98" s="54">
        <v>12000</v>
      </c>
      <c r="H98" s="54">
        <v>12000</v>
      </c>
    </row>
    <row r="99" spans="1:8" s="197" customFormat="1" ht="24.95" customHeight="1" x14ac:dyDescent="0.35">
      <c r="A99" s="195"/>
      <c r="B99" s="196"/>
      <c r="F99" s="197" t="s">
        <v>11</v>
      </c>
      <c r="G99" s="54">
        <v>13000</v>
      </c>
      <c r="H99" s="54">
        <v>13000</v>
      </c>
    </row>
    <row r="100" spans="1:8" s="197" customFormat="1" ht="24.95" customHeight="1" x14ac:dyDescent="0.35">
      <c r="A100" s="195"/>
      <c r="B100" s="196"/>
      <c r="F100" s="197" t="s">
        <v>209</v>
      </c>
      <c r="G100" s="54">
        <v>13000</v>
      </c>
      <c r="H100" s="54">
        <v>13000</v>
      </c>
    </row>
    <row r="101" spans="1:8" s="197" customFormat="1" ht="24.95" customHeight="1" x14ac:dyDescent="0.35">
      <c r="A101" s="195"/>
      <c r="B101" s="196"/>
      <c r="F101" s="197" t="s">
        <v>12</v>
      </c>
      <c r="G101" s="54">
        <v>13000</v>
      </c>
      <c r="H101" s="54">
        <v>13000</v>
      </c>
    </row>
    <row r="102" spans="1:8" s="197" customFormat="1" ht="24.95" customHeight="1" x14ac:dyDescent="0.35">
      <c r="A102" s="195"/>
      <c r="B102" s="196"/>
      <c r="F102" s="197" t="s">
        <v>13</v>
      </c>
      <c r="G102" s="54">
        <v>14000</v>
      </c>
      <c r="H102" s="54">
        <v>14000</v>
      </c>
    </row>
    <row r="103" spans="1:8" s="197" customFormat="1" ht="24.95" customHeight="1" x14ac:dyDescent="0.35">
      <c r="A103" s="195"/>
      <c r="B103" s="196"/>
      <c r="F103" s="197" t="s">
        <v>193</v>
      </c>
      <c r="G103" s="54">
        <v>15000</v>
      </c>
      <c r="H103" s="54">
        <v>15000</v>
      </c>
    </row>
    <row r="104" spans="1:8" s="197" customFormat="1" ht="24.95" customHeight="1" x14ac:dyDescent="0.35">
      <c r="A104" s="195"/>
      <c r="B104" s="196"/>
      <c r="F104" s="197" t="s">
        <v>194</v>
      </c>
      <c r="G104" s="54">
        <v>19000</v>
      </c>
      <c r="H104" s="54">
        <v>19000</v>
      </c>
    </row>
    <row r="105" spans="1:8" s="197" customFormat="1" ht="24.95" customHeight="1" x14ac:dyDescent="0.35">
      <c r="A105" s="195"/>
      <c r="B105" s="196"/>
      <c r="F105" s="197" t="s">
        <v>195</v>
      </c>
      <c r="G105" s="54">
        <v>19000</v>
      </c>
      <c r="H105" s="54">
        <v>19000</v>
      </c>
    </row>
    <row r="106" spans="1:8" s="197" customFormat="1" ht="24.95" customHeight="1" x14ac:dyDescent="0.35">
      <c r="A106" s="195"/>
      <c r="B106" s="196"/>
      <c r="F106" s="197" t="s">
        <v>196</v>
      </c>
      <c r="G106" s="54">
        <v>22000</v>
      </c>
      <c r="H106" s="54">
        <v>22000</v>
      </c>
    </row>
    <row r="107" spans="1:8" s="197" customFormat="1" ht="24.95" customHeight="1" x14ac:dyDescent="0.35">
      <c r="A107" s="195"/>
      <c r="B107" s="196"/>
      <c r="F107" s="197" t="s">
        <v>206</v>
      </c>
      <c r="G107" s="54">
        <v>30000</v>
      </c>
      <c r="H107" s="54">
        <v>30000</v>
      </c>
    </row>
    <row r="108" spans="1:8" s="197" customFormat="1" ht="24.95" customHeight="1" x14ac:dyDescent="0.35">
      <c r="A108" s="195"/>
      <c r="B108" s="196"/>
      <c r="F108" s="197" t="s">
        <v>207</v>
      </c>
      <c r="G108" s="54">
        <v>30000</v>
      </c>
      <c r="H108" s="54">
        <v>30000</v>
      </c>
    </row>
    <row r="109" spans="1:8" s="197" customFormat="1" ht="24.95" customHeight="1" x14ac:dyDescent="0.35">
      <c r="A109" s="195"/>
      <c r="B109" s="196"/>
      <c r="F109" s="197" t="s">
        <v>208</v>
      </c>
      <c r="G109" s="54">
        <v>30000</v>
      </c>
      <c r="H109" s="54">
        <v>30000</v>
      </c>
    </row>
    <row r="110" spans="1:8" s="197" customFormat="1" ht="24.95" customHeight="1" x14ac:dyDescent="0.35">
      <c r="A110" s="195"/>
      <c r="B110" s="196"/>
      <c r="G110" s="54"/>
      <c r="H110" s="54"/>
    </row>
    <row r="111" spans="1:8" s="197" customFormat="1" ht="24.95" customHeight="1" x14ac:dyDescent="0.35">
      <c r="A111" s="195"/>
      <c r="B111" s="196"/>
      <c r="F111" s="199" t="s">
        <v>210</v>
      </c>
      <c r="G111" s="54"/>
      <c r="H111" s="54"/>
    </row>
    <row r="112" spans="1:8" s="197" customFormat="1" ht="24.95" customHeight="1" x14ac:dyDescent="0.35">
      <c r="A112" s="195"/>
      <c r="B112" s="196"/>
      <c r="F112" s="197" t="s">
        <v>211</v>
      </c>
      <c r="G112" s="54">
        <v>2000</v>
      </c>
      <c r="H112" s="54">
        <v>2000</v>
      </c>
    </row>
    <row r="113" spans="1:8" s="197" customFormat="1" ht="24.95" customHeight="1" x14ac:dyDescent="0.35">
      <c r="A113" s="195"/>
      <c r="B113" s="196"/>
      <c r="F113" s="197" t="s">
        <v>212</v>
      </c>
      <c r="G113" s="54">
        <v>2500</v>
      </c>
      <c r="H113" s="54">
        <v>2500</v>
      </c>
    </row>
    <row r="114" spans="1:8" s="197" customFormat="1" ht="24.95" customHeight="1" x14ac:dyDescent="0.35">
      <c r="A114" s="195"/>
      <c r="B114" s="196"/>
      <c r="F114" s="197" t="s">
        <v>217</v>
      </c>
      <c r="G114" s="54">
        <v>2500</v>
      </c>
      <c r="H114" s="54">
        <v>2500</v>
      </c>
    </row>
    <row r="115" spans="1:8" s="197" customFormat="1" ht="24.95" customHeight="1" x14ac:dyDescent="0.35">
      <c r="A115" s="195"/>
      <c r="B115" s="196"/>
      <c r="F115" s="197" t="s">
        <v>213</v>
      </c>
      <c r="G115" s="54">
        <v>3000</v>
      </c>
      <c r="H115" s="54">
        <v>3000</v>
      </c>
    </row>
    <row r="116" spans="1:8" s="197" customFormat="1" ht="24.95" customHeight="1" x14ac:dyDescent="0.35">
      <c r="A116" s="195"/>
      <c r="B116" s="196"/>
      <c r="F116" s="197" t="s">
        <v>214</v>
      </c>
      <c r="G116" s="54">
        <v>3500</v>
      </c>
      <c r="H116" s="54">
        <v>3500</v>
      </c>
    </row>
    <row r="117" spans="1:8" s="202" customFormat="1" ht="24.95" customHeight="1" x14ac:dyDescent="0.35">
      <c r="A117" s="200"/>
      <c r="B117" s="201"/>
      <c r="F117" s="203" t="s">
        <v>215</v>
      </c>
      <c r="G117" s="204">
        <v>4000</v>
      </c>
      <c r="H117" s="204">
        <v>4000</v>
      </c>
    </row>
    <row r="118" spans="1:8" s="197" customFormat="1" ht="24.95" customHeight="1" x14ac:dyDescent="0.35">
      <c r="A118" s="195"/>
      <c r="B118" s="196"/>
      <c r="F118" s="197" t="s">
        <v>216</v>
      </c>
      <c r="G118" s="54">
        <v>4500</v>
      </c>
      <c r="H118" s="54">
        <v>4500</v>
      </c>
    </row>
    <row r="119" spans="1:8" x14ac:dyDescent="0.25">
      <c r="G119" s="71"/>
      <c r="H119" s="71"/>
    </row>
    <row r="120" spans="1:8" x14ac:dyDescent="0.25">
      <c r="G120" s="71"/>
      <c r="H120" s="71"/>
    </row>
    <row r="121" spans="1:8" x14ac:dyDescent="0.25">
      <c r="G121" s="71"/>
      <c r="H121" s="71"/>
    </row>
    <row r="122" spans="1:8" x14ac:dyDescent="0.25">
      <c r="G122" s="71"/>
      <c r="H122" s="71"/>
    </row>
    <row r="123" spans="1:8" x14ac:dyDescent="0.25">
      <c r="G123" s="71"/>
      <c r="H123" s="71"/>
    </row>
  </sheetData>
  <mergeCells count="1">
    <mergeCell ref="B2:D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Planilla pagos f cordero 2017</vt:lpstr>
      <vt:lpstr>Horas Oct</vt:lpstr>
      <vt:lpstr>Pedido octubre 2017</vt:lpstr>
      <vt:lpstr>Pedido septiembre 2017</vt:lpstr>
      <vt:lpstr> Pedido Septiembre 2017</vt:lpstr>
      <vt:lpstr>Comisiones</vt:lpstr>
      <vt:lpstr>Horas</vt:lpstr>
      <vt:lpstr>Hoja1</vt:lpstr>
      <vt:lpstr>Propuesta Octubre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Transito</dc:creator>
  <cp:lastModifiedBy>Usuario de Windows</cp:lastModifiedBy>
  <cp:lastPrinted>2017-10-20T19:58:03Z</cp:lastPrinted>
  <dcterms:created xsi:type="dcterms:W3CDTF">2017-09-12T15:23:41Z</dcterms:created>
  <dcterms:modified xsi:type="dcterms:W3CDTF">2017-11-09T18:18:16Z</dcterms:modified>
</cp:coreProperties>
</file>